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viaacque-my.sharepoint.com/personal/p_vercesi_paviaacque_it/Documents/Desktop/TRASPARENZA/"/>
    </mc:Choice>
  </mc:AlternateContent>
  <xr:revisionPtr revIDLastSave="0" documentId="8_{9E3AF077-F945-4CE3-8D1C-23FA39ECBFC7}" xr6:coauthVersionLast="47" xr6:coauthVersionMax="47" xr10:uidLastSave="{00000000-0000-0000-0000-000000000000}"/>
  <bookViews>
    <workbookView xWindow="-120" yWindow="-120" windowWidth="29040" windowHeight="15840" xr2:uid="{3EC60430-2E6F-4EB8-B582-0C2E77EEF5CB}"/>
  </bookViews>
  <sheets>
    <sheet name="cronologia gare" sheetId="1" r:id="rId1"/>
  </sheets>
  <definedNames>
    <definedName name="_xlnm.Print_Area" localSheetId="0">'cronologia gare'!$A$1:$T$529</definedName>
    <definedName name="_xlnm.Print_Titles" localSheetId="0">'cronologia gare'!$1:$1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8" i="1" l="1"/>
  <c r="F527" i="1"/>
  <c r="F526" i="1"/>
  <c r="F525" i="1"/>
  <c r="F524" i="1"/>
  <c r="E524" i="1"/>
  <c r="F523" i="1"/>
  <c r="E523" i="1"/>
  <c r="F522" i="1"/>
  <c r="E522" i="1"/>
  <c r="F521" i="1"/>
  <c r="E521" i="1"/>
  <c r="F519" i="1"/>
  <c r="F518" i="1"/>
  <c r="F517" i="1"/>
  <c r="F516" i="1"/>
  <c r="F515" i="1"/>
  <c r="F514" i="1"/>
  <c r="F513" i="1"/>
  <c r="F512" i="1"/>
  <c r="F511" i="1"/>
  <c r="M510" i="1"/>
  <c r="F510" i="1"/>
  <c r="F509" i="1"/>
  <c r="F508" i="1"/>
  <c r="F507" i="1"/>
  <c r="F506" i="1"/>
  <c r="F503" i="1"/>
  <c r="E503" i="1"/>
  <c r="F502" i="1"/>
  <c r="E502" i="1"/>
  <c r="F501" i="1"/>
  <c r="E501" i="1"/>
  <c r="F497" i="1"/>
  <c r="E497" i="1"/>
  <c r="F496" i="1"/>
  <c r="F495" i="1"/>
  <c r="F494" i="1"/>
  <c r="F493" i="1"/>
  <c r="F492" i="1"/>
  <c r="E492" i="1"/>
  <c r="M491" i="1"/>
  <c r="F491" i="1"/>
  <c r="E491" i="1"/>
  <c r="M489" i="1"/>
  <c r="F489" i="1"/>
  <c r="E489" i="1"/>
  <c r="M486" i="1"/>
  <c r="F486" i="1"/>
  <c r="E486" i="1"/>
  <c r="F485" i="1"/>
  <c r="F484" i="1"/>
  <c r="E484" i="1"/>
  <c r="F483" i="1"/>
  <c r="F482" i="1"/>
  <c r="F481" i="1"/>
  <c r="F480" i="1"/>
  <c r="F479" i="1"/>
  <c r="F476" i="1"/>
  <c r="F475" i="1"/>
  <c r="F474" i="1"/>
  <c r="F473" i="1"/>
  <c r="F470" i="1"/>
  <c r="F469" i="1"/>
  <c r="F467" i="1"/>
  <c r="F466" i="1"/>
  <c r="E466" i="1"/>
  <c r="F465" i="1"/>
  <c r="F464" i="1"/>
  <c r="F461" i="1"/>
  <c r="F460" i="1"/>
  <c r="F458" i="1"/>
  <c r="E458" i="1"/>
  <c r="F455" i="1"/>
  <c r="E455" i="1"/>
  <c r="F454" i="1"/>
  <c r="E454" i="1"/>
  <c r="F451" i="1"/>
  <c r="F445" i="1"/>
  <c r="F444" i="1"/>
  <c r="F443" i="1"/>
  <c r="F441" i="1"/>
  <c r="F440" i="1"/>
  <c r="E440" i="1"/>
  <c r="F438" i="1"/>
  <c r="F431" i="1"/>
  <c r="F428" i="1"/>
  <c r="F427" i="1"/>
  <c r="F426" i="1"/>
  <c r="F425" i="1"/>
  <c r="F423" i="1"/>
  <c r="F422" i="1"/>
  <c r="F415" i="1"/>
  <c r="F410" i="1"/>
  <c r="F407" i="1"/>
  <c r="F401" i="1"/>
  <c r="F400" i="1"/>
  <c r="F397" i="1"/>
  <c r="F394" i="1"/>
  <c r="F391" i="1"/>
  <c r="F390" i="1"/>
  <c r="E390" i="1"/>
  <c r="F389" i="1"/>
  <c r="E389" i="1"/>
  <c r="F380" i="1"/>
  <c r="E380" i="1"/>
  <c r="F379" i="1"/>
  <c r="E379" i="1"/>
  <c r="F376" i="1"/>
  <c r="F371" i="1"/>
  <c r="F370" i="1"/>
  <c r="F369" i="1"/>
  <c r="E369" i="1"/>
  <c r="F368" i="1"/>
  <c r="E368" i="1"/>
  <c r="F366" i="1"/>
  <c r="F365" i="1"/>
  <c r="F361" i="1"/>
  <c r="F360" i="1"/>
  <c r="F357" i="1"/>
  <c r="F356" i="1"/>
  <c r="E356" i="1"/>
  <c r="F354" i="1"/>
  <c r="E354" i="1"/>
  <c r="F352" i="1"/>
  <c r="F350" i="1"/>
  <c r="E350" i="1"/>
  <c r="F346" i="1"/>
  <c r="F339" i="1"/>
  <c r="F337" i="1"/>
  <c r="F336" i="1"/>
  <c r="F332" i="1"/>
  <c r="F328" i="1"/>
  <c r="F325" i="1"/>
  <c r="F319" i="1"/>
  <c r="F318" i="1"/>
  <c r="F316" i="1"/>
  <c r="F314" i="1"/>
  <c r="F313" i="1"/>
  <c r="F312" i="1"/>
  <c r="F311" i="1"/>
  <c r="F307" i="1"/>
  <c r="F298" i="1"/>
  <c r="F290" i="1"/>
  <c r="F288" i="1"/>
  <c r="F287" i="1"/>
  <c r="F285" i="1"/>
  <c r="F283" i="1"/>
  <c r="F282" i="1"/>
  <c r="M280" i="1"/>
  <c r="F280" i="1"/>
  <c r="E280" i="1"/>
  <c r="F276" i="1"/>
  <c r="F274" i="1"/>
  <c r="F271" i="1"/>
  <c r="F268" i="1"/>
  <c r="F263" i="1"/>
  <c r="F261" i="1"/>
  <c r="F259" i="1"/>
  <c r="F255" i="1"/>
  <c r="F253" i="1"/>
  <c r="E253" i="1"/>
  <c r="F251" i="1"/>
  <c r="E251" i="1"/>
  <c r="F250" i="1"/>
  <c r="E250" i="1"/>
  <c r="F249" i="1"/>
  <c r="E249" i="1"/>
  <c r="F248" i="1"/>
  <c r="E248" i="1"/>
  <c r="F247" i="1"/>
  <c r="E247" i="1"/>
  <c r="F246" i="1"/>
  <c r="F245" i="1"/>
  <c r="F239" i="1"/>
  <c r="F237" i="1"/>
  <c r="F234" i="1"/>
  <c r="F232" i="1"/>
  <c r="F225" i="1"/>
  <c r="F223" i="1"/>
  <c r="F221" i="1"/>
  <c r="F219" i="1"/>
  <c r="F218" i="1"/>
  <c r="F216" i="1"/>
  <c r="F215" i="1"/>
  <c r="E215" i="1"/>
  <c r="F212" i="1"/>
  <c r="F207" i="1"/>
  <c r="F205" i="1"/>
  <c r="F201" i="1"/>
  <c r="M200" i="1"/>
  <c r="F197" i="1"/>
  <c r="F195" i="1"/>
  <c r="F193" i="1"/>
  <c r="F191" i="1"/>
  <c r="F189" i="1"/>
  <c r="F187" i="1"/>
  <c r="F185" i="1"/>
  <c r="F184" i="1"/>
  <c r="F182" i="1"/>
  <c r="F181" i="1"/>
  <c r="F180" i="1"/>
  <c r="F178" i="1"/>
  <c r="F176" i="1"/>
  <c r="F174" i="1"/>
  <c r="F172" i="1"/>
  <c r="F171" i="1"/>
  <c r="F170" i="1"/>
  <c r="F168" i="1"/>
  <c r="F166" i="1"/>
  <c r="F165" i="1"/>
  <c r="F163" i="1"/>
  <c r="F161" i="1"/>
  <c r="F160" i="1"/>
  <c r="F159" i="1"/>
  <c r="F157" i="1"/>
  <c r="F155" i="1"/>
  <c r="F154" i="1"/>
  <c r="F153" i="1"/>
  <c r="F151" i="1"/>
  <c r="F149" i="1"/>
  <c r="F148" i="1"/>
  <c r="F147" i="1"/>
  <c r="F146" i="1"/>
  <c r="M145" i="1"/>
  <c r="F144" i="1"/>
  <c r="F143" i="1"/>
  <c r="F141" i="1"/>
  <c r="F140" i="1"/>
  <c r="F139" i="1"/>
  <c r="F137" i="1"/>
  <c r="F136" i="1"/>
  <c r="F133" i="1"/>
  <c r="F132" i="1"/>
  <c r="F131" i="1"/>
  <c r="F129" i="1"/>
  <c r="F128" i="1"/>
  <c r="F127" i="1"/>
  <c r="M126" i="1"/>
  <c r="F125" i="1"/>
  <c r="F124" i="1"/>
  <c r="F123" i="1"/>
  <c r="F121" i="1"/>
  <c r="F120" i="1"/>
  <c r="F118" i="1"/>
  <c r="F117" i="1"/>
  <c r="F116" i="1"/>
  <c r="F114" i="1"/>
  <c r="E114" i="1"/>
  <c r="F113" i="1"/>
  <c r="F112" i="1"/>
  <c r="F111" i="1"/>
  <c r="F110" i="1"/>
  <c r="F108" i="1"/>
  <c r="F107" i="1"/>
  <c r="F106" i="1"/>
  <c r="F105" i="1"/>
  <c r="M104" i="1"/>
  <c r="F103" i="1"/>
  <c r="F102" i="1"/>
  <c r="F101" i="1"/>
  <c r="M93" i="1"/>
  <c r="F93" i="1"/>
  <c r="F88" i="1"/>
  <c r="F87" i="1"/>
  <c r="F86" i="1"/>
  <c r="M85" i="1"/>
  <c r="M84" i="1"/>
  <c r="F83" i="1"/>
  <c r="F82" i="1"/>
  <c r="F80" i="1"/>
  <c r="F78" i="1"/>
  <c r="M76" i="1"/>
  <c r="F75" i="1"/>
  <c r="F74" i="1"/>
  <c r="F73" i="1"/>
  <c r="F72" i="1"/>
  <c r="F71" i="1"/>
  <c r="F70" i="1"/>
  <c r="F68" i="1"/>
  <c r="F66" i="1"/>
  <c r="E66" i="1"/>
  <c r="F65" i="1"/>
  <c r="M64" i="1"/>
  <c r="M63" i="1"/>
  <c r="F62" i="1"/>
  <c r="F61" i="1"/>
  <c r="F55" i="1"/>
  <c r="F54" i="1"/>
  <c r="F53" i="1"/>
  <c r="F52" i="1"/>
  <c r="F51" i="1"/>
  <c r="F49" i="1"/>
  <c r="F39" i="1"/>
  <c r="F37" i="1"/>
  <c r="F36" i="1"/>
  <c r="F529" i="1" l="1"/>
  <c r="E529" i="1"/>
  <c r="M529" i="1"/>
</calcChain>
</file>

<file path=xl/sharedStrings.xml><?xml version="1.0" encoding="utf-8"?>
<sst xmlns="http://schemas.openxmlformats.org/spreadsheetml/2006/main" count="2955" uniqueCount="1771">
  <si>
    <t>Zona</t>
  </si>
  <si>
    <t>Progetto</t>
  </si>
  <si>
    <t>ID</t>
  </si>
  <si>
    <t>Importo tot iva esclusa</t>
  </si>
  <si>
    <t>Importo netto lavori (base asta + oneri)</t>
  </si>
  <si>
    <t>pubblicaz. Bando o lettera partecipaz.</t>
  </si>
  <si>
    <t>scadenza rich. Partecipa-zione</t>
  </si>
  <si>
    <t>ns. lettera/ invito di richiesta offerta</t>
  </si>
  <si>
    <t>scadenza offerta</t>
  </si>
  <si>
    <t>Aggiudicatario</t>
  </si>
  <si>
    <t>Ribasso offerto</t>
  </si>
  <si>
    <t>importo contratto (compresi oneri sicurezza) IVA esclusa</t>
  </si>
  <si>
    <t>AGG. DEF.</t>
  </si>
  <si>
    <t>Data stipula contratto</t>
  </si>
  <si>
    <t>Durata dei lavori (gg)</t>
  </si>
  <si>
    <t>Notif. Prel. Inizio Cant.</t>
  </si>
  <si>
    <t>Data verbale ultimazione lavori</t>
  </si>
  <si>
    <t>Collaudo / Cert. Reg. Esecuz.</t>
  </si>
  <si>
    <t>lom</t>
  </si>
  <si>
    <t>/</t>
  </si>
  <si>
    <t>Carboplant</t>
  </si>
  <si>
    <t>olt</t>
  </si>
  <si>
    <t>17/03/10 (n.22)</t>
  </si>
  <si>
    <r>
      <t xml:space="preserve">31/05/10 </t>
    </r>
    <r>
      <rPr>
        <sz val="8"/>
        <rFont val="Arial"/>
        <family val="2"/>
      </rPr>
      <t>(n.3)</t>
    </r>
  </si>
  <si>
    <t>collaudo 30/5/14</t>
  </si>
  <si>
    <t>2.1</t>
  </si>
  <si>
    <t xml:space="preserve">Perizia di variante e suppletiva </t>
  </si>
  <si>
    <t>2.2</t>
  </si>
  <si>
    <t>Perizia di variante</t>
  </si>
  <si>
    <t>pav</t>
  </si>
  <si>
    <t>14/04/10 (n.18)</t>
  </si>
  <si>
    <r>
      <t>12/07/10</t>
    </r>
    <r>
      <rPr>
        <sz val="8"/>
        <rFont val="Arial"/>
        <family val="2"/>
      </rPr>
      <t xml:space="preserve"> (n.5)</t>
    </r>
  </si>
  <si>
    <r>
      <t xml:space="preserve">ATI Cons. Coop. Costruz. </t>
    </r>
    <r>
      <rPr>
        <sz val="8"/>
        <rFont val="Arial"/>
        <family val="2"/>
      </rPr>
      <t>(Unieco)</t>
    </r>
    <r>
      <rPr>
        <b/>
        <sz val="8"/>
        <rFont val="Arial"/>
        <family val="2"/>
      </rPr>
      <t>/ Degremont</t>
    </r>
  </si>
  <si>
    <t>5/7/11 inizio: 6/7/11</t>
  </si>
  <si>
    <t>27/09/2013; Verb.Fine lavori 4/10/13</t>
  </si>
  <si>
    <t>CRE 13/7/15</t>
  </si>
  <si>
    <t>3.1</t>
  </si>
  <si>
    <t>Fornitura di n. 1 ispessitore dinamico presso il Depuratore di Pavia</t>
  </si>
  <si>
    <t>17/05/11 (n.7)</t>
  </si>
  <si>
    <t>//</t>
  </si>
  <si>
    <t>Huber</t>
  </si>
  <si>
    <t>fornito il 13/02/12</t>
  </si>
  <si>
    <t>3.2</t>
  </si>
  <si>
    <t>DISIDRATAZIONE FANGHI</t>
  </si>
  <si>
    <t>filtropressa fornita il 27/02/2012</t>
  </si>
  <si>
    <t>Impresa Cerutti Costruzioni S.n.c.</t>
  </si>
  <si>
    <t>Impresa Pecora S.p.A.</t>
  </si>
  <si>
    <t>24/11/10; agg. 24/1/11</t>
  </si>
  <si>
    <t>5.1</t>
  </si>
  <si>
    <t>Sistemazione fondo e sponde canale irriguo Isimbardi – CIG Z2E02279D5</t>
  </si>
  <si>
    <t>Impresa De Giuliani S.r.l.</t>
  </si>
  <si>
    <t>07/07/10 (n.27)</t>
  </si>
  <si>
    <r>
      <t>06/09/10</t>
    </r>
    <r>
      <rPr>
        <sz val="8"/>
        <rFont val="Arial"/>
        <family val="2"/>
      </rPr>
      <t xml:space="preserve"> (n.8)</t>
    </r>
  </si>
  <si>
    <t>CTA 28/10/14</t>
  </si>
  <si>
    <t>7.1</t>
  </si>
  <si>
    <t>21/07/10 (n.44)</t>
  </si>
  <si>
    <r>
      <t>07/09/10</t>
    </r>
    <r>
      <rPr>
        <sz val="8"/>
        <rFont val="Arial"/>
        <family val="2"/>
      </rPr>
      <t xml:space="preserve"> (n.38)</t>
    </r>
  </si>
  <si>
    <t>Ati Pecora-ASM Lavori Srl</t>
  </si>
  <si>
    <t>1/12/10 inizio: 2/12/10</t>
  </si>
  <si>
    <t>28/07/10 (n.13)</t>
  </si>
  <si>
    <r>
      <t xml:space="preserve">14/09/10 </t>
    </r>
    <r>
      <rPr>
        <sz val="8"/>
        <rFont val="Arial"/>
        <family val="2"/>
      </rPr>
      <t>(n.11)</t>
    </r>
  </si>
  <si>
    <t>Severn Trent Italia</t>
  </si>
  <si>
    <t>16/12/10; agg. 24/1/11; agg. 29/9/11</t>
  </si>
  <si>
    <t>04/08/10 (n.13)</t>
  </si>
  <si>
    <r>
      <t>08/11/10</t>
    </r>
    <r>
      <rPr>
        <sz val="8"/>
        <rFont val="Arial"/>
        <family val="2"/>
      </rPr>
      <t xml:space="preserve"> (n.5)</t>
    </r>
  </si>
  <si>
    <r>
      <t xml:space="preserve">ATI SIDI-ARROS </t>
    </r>
    <r>
      <rPr>
        <sz val="8"/>
        <rFont val="Arial"/>
        <family val="2"/>
      </rPr>
      <t>(cooptata)</t>
    </r>
  </si>
  <si>
    <t>9/3/12; inizio 13/3/12</t>
  </si>
  <si>
    <t>10.1</t>
  </si>
  <si>
    <t>Perizia Modificativa e Suppletiva</t>
  </si>
  <si>
    <t>lett. ad AS Mortara 06/07/10</t>
  </si>
  <si>
    <t>AS Mortara</t>
  </si>
  <si>
    <t>Negretti S.r.l.</t>
  </si>
  <si>
    <r>
      <t xml:space="preserve">AdPQ Quarta fase 2° stralcio 21F09009 - Potenziamento adduttrice </t>
    </r>
    <r>
      <rPr>
        <b/>
        <sz val="8"/>
        <rFont val="Arial"/>
        <family val="2"/>
      </rPr>
      <t>Valle Versa</t>
    </r>
    <r>
      <rPr>
        <sz val="8"/>
        <rFont val="Arial"/>
        <family val="2"/>
      </rPr>
      <t>: collegamento centrale Durina di Portalbera-centrale Zenevredo-serbatoio Roncalberico di Stradella a servizio dei Comuni di Arena Po, Bosnasco, Montù Beccaria, S. Damiano al Colle, Zenevredo (Valle Bardoneggia)</t>
    </r>
  </si>
  <si>
    <t>OG6</t>
  </si>
  <si>
    <r>
      <t>17/09/10</t>
    </r>
    <r>
      <rPr>
        <sz val="8"/>
        <rFont val="Arial"/>
        <family val="2"/>
      </rPr>
      <t xml:space="preserve"> (n.2)</t>
    </r>
  </si>
  <si>
    <t>Impresa ARROS S.p.A.</t>
  </si>
  <si>
    <r>
      <t xml:space="preserve">AdPQ Quarta fase 2° stralcio 21F09001 - Potenziamento adduttrice della </t>
    </r>
    <r>
      <rPr>
        <b/>
        <sz val="8"/>
        <rFont val="Arial"/>
        <family val="2"/>
      </rPr>
      <t>Valle Versa. Lotto II</t>
    </r>
    <r>
      <rPr>
        <sz val="8"/>
        <rFont val="Arial"/>
        <family val="2"/>
      </rPr>
      <t>: tratto centrale Villanova - Serbatoio Bellaria di Montecalvo Versiggia.</t>
    </r>
  </si>
  <si>
    <r>
      <t xml:space="preserve">21/09/10 </t>
    </r>
    <r>
      <rPr>
        <sz val="8"/>
        <rFont val="Arial"/>
        <family val="2"/>
      </rPr>
      <t>(n.47)</t>
    </r>
  </si>
  <si>
    <t>Edilstrade S.r.l.</t>
  </si>
  <si>
    <t>25/11/10 inizio: 29/11/10</t>
  </si>
  <si>
    <r>
      <t xml:space="preserve">AdPQ Quarta fase 2° stralcio 21F09002 - Potenziamento adduttrice della </t>
    </r>
    <r>
      <rPr>
        <b/>
        <sz val="8"/>
        <rFont val="Arial"/>
        <family val="2"/>
      </rPr>
      <t>Valle Versa. Lotto III</t>
    </r>
    <r>
      <rPr>
        <sz val="8"/>
        <rFont val="Arial"/>
        <family val="2"/>
      </rPr>
      <t>: Centrale Mosca di S. Maria della Versa - Serbatoio Torrazza di S. Maria della Versa.</t>
    </r>
  </si>
  <si>
    <r>
      <t>23/09/10</t>
    </r>
    <r>
      <rPr>
        <sz val="8"/>
        <rFont val="Arial"/>
        <family val="2"/>
      </rPr>
      <t xml:space="preserve"> (n.48)</t>
    </r>
  </si>
  <si>
    <t>Moro di Moro Francesco &amp; C.</t>
  </si>
  <si>
    <t>OS22</t>
  </si>
  <si>
    <t>GU 25/7/11 +2g 28/7 +PVA+oss 29/7</t>
  </si>
  <si>
    <r>
      <t>15/12/11</t>
    </r>
    <r>
      <rPr>
        <sz val="8"/>
        <rFont val="Arial"/>
        <family val="2"/>
      </rPr>
      <t xml:space="preserve"> Deserta.</t>
    </r>
  </si>
  <si>
    <t>CIG 37283625A6.</t>
  </si>
  <si>
    <t>PN  21/12/11 (n.7 inviti)</t>
  </si>
  <si>
    <r>
      <t xml:space="preserve">15/03/12 </t>
    </r>
    <r>
      <rPr>
        <sz val="8"/>
        <rFont val="Arial"/>
        <family val="2"/>
      </rPr>
      <t>(arrivate 2 offerte)</t>
    </r>
  </si>
  <si>
    <t>60 + 180</t>
  </si>
  <si>
    <t>Maretti Strade</t>
  </si>
  <si>
    <t>COMUNE DI TORRAZZA COSTE. RIFACIMENTO POZZO N° 1 ACQUEDOTTO COMUNALE</t>
  </si>
  <si>
    <t>31/03/11 (n.6)</t>
  </si>
  <si>
    <t>lett. a ASM Vog 04/04/11</t>
  </si>
  <si>
    <t>ASM Vog</t>
  </si>
  <si>
    <t>lett. a CBL 04/04/11</t>
  </si>
  <si>
    <t>CBL</t>
  </si>
  <si>
    <t>lett. a AS Mort 04/04/11</t>
  </si>
  <si>
    <t xml:space="preserve">AS Mort </t>
  </si>
  <si>
    <t>31/10/11 iniz: 2/11</t>
  </si>
  <si>
    <t>13/04/11 (n.3)</t>
  </si>
  <si>
    <t>23.1</t>
  </si>
  <si>
    <t>ORDINE 11/10/11</t>
  </si>
  <si>
    <t>-</t>
  </si>
  <si>
    <t>14/04/11 (n.7)</t>
  </si>
  <si>
    <t>VICOS S.r.l.</t>
  </si>
  <si>
    <t>5/1/12 iniz: 9/1</t>
  </si>
  <si>
    <r>
      <t xml:space="preserve">Comune di </t>
    </r>
    <r>
      <rPr>
        <b/>
        <sz val="8"/>
        <rFont val="Arial"/>
        <family val="2"/>
      </rPr>
      <t>Bornasco.</t>
    </r>
    <r>
      <rPr>
        <sz val="8"/>
        <rFont val="Arial"/>
        <family val="2"/>
      </rPr>
      <t xml:space="preserve"> Rinnovazione della rete acquedottistica di Via Trieste</t>
    </r>
    <r>
      <rPr>
        <sz val="7"/>
        <rFont val="Arial"/>
        <family val="2"/>
      </rPr>
      <t xml:space="preserve"> Fraz. Gualdrasco.</t>
    </r>
  </si>
  <si>
    <t>lett. a ASM PV 19/04/11</t>
  </si>
  <si>
    <t>ASM PV</t>
  </si>
  <si>
    <t>lett. a ASM PV 1/6/11</t>
  </si>
  <si>
    <t>OG1</t>
  </si>
  <si>
    <t>albo Gamb + PVA 27/7/11</t>
  </si>
  <si>
    <t>Zorzi Costruzioni Srl</t>
  </si>
  <si>
    <t>27.1</t>
  </si>
  <si>
    <t>PN  28/7/11 (n.5)</t>
  </si>
  <si>
    <t>B&amp;B Service sas</t>
  </si>
  <si>
    <t>ricomprese sopra</t>
  </si>
  <si>
    <t>27.2</t>
  </si>
  <si>
    <t>PN  25/7/11  (n.5)</t>
  </si>
  <si>
    <r>
      <t>Elitalia</t>
    </r>
    <r>
      <rPr>
        <sz val="11"/>
        <color theme="1"/>
        <rFont val="Calibri"/>
        <family val="2"/>
        <scheme val="minor"/>
      </rPr>
      <t/>
    </r>
  </si>
  <si>
    <t>27.3</t>
  </si>
  <si>
    <t>PN  25/7/11  (n.3)</t>
  </si>
  <si>
    <t>Spurgo Service</t>
  </si>
  <si>
    <t>ORDINE 26/9/11</t>
  </si>
  <si>
    <t>27.4</t>
  </si>
  <si>
    <t>PN  26/7/11 (n.3)</t>
  </si>
  <si>
    <t>Bio Mass</t>
  </si>
  <si>
    <t>27.5</t>
  </si>
  <si>
    <t>PN  26/7/11 (n. 3)</t>
  </si>
  <si>
    <t>ITT Water</t>
  </si>
  <si>
    <t>27.6</t>
  </si>
  <si>
    <t>Acme</t>
  </si>
  <si>
    <t>27.7</t>
  </si>
  <si>
    <t>PN  27/7/11 (n.3)</t>
  </si>
  <si>
    <t>27.8</t>
  </si>
  <si>
    <t>Hach Lange</t>
  </si>
  <si>
    <t>27.9</t>
  </si>
  <si>
    <t>PN  27/7/11 (n.2)</t>
  </si>
  <si>
    <t>Aerzen</t>
  </si>
  <si>
    <t>27.10</t>
  </si>
  <si>
    <t>Ageco</t>
  </si>
  <si>
    <t>27.11</t>
  </si>
  <si>
    <t>PN  27/7/11 (n.1)</t>
  </si>
  <si>
    <t>Formoplast (BG)</t>
  </si>
  <si>
    <t>Co.Gen. Costruzioni Generali S.p.A.</t>
  </si>
  <si>
    <r>
      <t xml:space="preserve">Fognatura di </t>
    </r>
    <r>
      <rPr>
        <b/>
        <sz val="8"/>
        <rFont val="Arial"/>
        <family val="2"/>
      </rPr>
      <t>Pavia</t>
    </r>
    <r>
      <rPr>
        <sz val="8"/>
        <rFont val="Arial"/>
        <family val="2"/>
      </rPr>
      <t xml:space="preserve">: rifacimento tratto in pressione </t>
    </r>
    <r>
      <rPr>
        <b/>
        <sz val="8"/>
        <rFont val="Arial"/>
        <family val="2"/>
      </rPr>
      <t>Ponte della Libertà</t>
    </r>
    <r>
      <rPr>
        <sz val="8"/>
        <rFont val="Arial"/>
        <family val="2"/>
      </rPr>
      <t>.</t>
    </r>
  </si>
  <si>
    <t>29/09/2011 (n.6)</t>
  </si>
  <si>
    <t>In.Te.Co. Srl</t>
  </si>
  <si>
    <r>
      <t xml:space="preserve">29/11/2011 </t>
    </r>
    <r>
      <rPr>
        <b/>
        <sz val="8"/>
        <rFont val="Arial"/>
        <family val="2"/>
      </rPr>
      <t>URGENTE</t>
    </r>
  </si>
  <si>
    <t>24/11/11 iniz: 28/11</t>
  </si>
  <si>
    <t>lett. a ASM Vig 4/10/11: non può effettuare lavori.</t>
  </si>
  <si>
    <t>27/06/12 (n.15)</t>
  </si>
  <si>
    <t>6/5/13 iniz: 13/5</t>
  </si>
  <si>
    <r>
      <t xml:space="preserve">Sistema di collettamento e depurazione dei Comuni di Rea, Verrua Po, Pinarolo Po, Casatisma e Bressana Bottarone: 1° Stralcio – Collettamento Rea-Verrua e potenziamento depuratore di Verrua; 2° sub-Stralcio – Collettamento </t>
    </r>
    <r>
      <rPr>
        <b/>
        <sz val="8"/>
        <rFont val="Arial"/>
        <family val="2"/>
      </rPr>
      <t>Rea-Verrua</t>
    </r>
    <r>
      <rPr>
        <sz val="8"/>
        <rFont val="Arial"/>
        <family val="2"/>
      </rPr>
      <t>.</t>
    </r>
  </si>
  <si>
    <t>lett. a Viletti 4/10/11</t>
  </si>
  <si>
    <t>Viletti</t>
  </si>
  <si>
    <t>11/1/12 iniz: 12/1</t>
  </si>
  <si>
    <r>
      <t xml:space="preserve">Comune di </t>
    </r>
    <r>
      <rPr>
        <b/>
        <sz val="8"/>
        <rFont val="Arial"/>
        <family val="2"/>
      </rPr>
      <t>Landriano</t>
    </r>
    <r>
      <rPr>
        <sz val="8"/>
        <rFont val="Arial"/>
        <family val="2"/>
      </rPr>
      <t xml:space="preserve">. Realizzazione delle opere di completamento del pozzo in Frazione </t>
    </r>
    <r>
      <rPr>
        <b/>
        <sz val="8"/>
        <rFont val="Arial"/>
        <family val="2"/>
      </rPr>
      <t>Pairana.</t>
    </r>
  </si>
  <si>
    <t>PN  5/10/11 (n.7)</t>
  </si>
  <si>
    <t>Zelo Impianti Srl</t>
  </si>
  <si>
    <t>30/3/12 iniz: 2/4</t>
  </si>
  <si>
    <r>
      <t xml:space="preserve">Comune di </t>
    </r>
    <r>
      <rPr>
        <b/>
        <sz val="8"/>
        <rFont val="Arial"/>
        <family val="2"/>
      </rPr>
      <t>Badia Pavese</t>
    </r>
    <r>
      <rPr>
        <sz val="8"/>
        <rFont val="Arial"/>
        <family val="2"/>
      </rPr>
      <t>. Trivellazione nuovo pozzo ed adeguamento funzionale impianto di potabilizzazione. 1’ stralcio: trivellazione urgente nuovo pozzo.</t>
    </r>
  </si>
  <si>
    <t>PN  20/10/11 (n.5)</t>
  </si>
  <si>
    <t>Negretti</t>
  </si>
  <si>
    <t>PN  30/11/11 (n. 5)</t>
  </si>
  <si>
    <t>Codognelli Stefano</t>
  </si>
  <si>
    <t>37.1</t>
  </si>
  <si>
    <t>PN 29/5/12 (n. 3)</t>
  </si>
  <si>
    <t>37.2</t>
  </si>
  <si>
    <r>
      <t xml:space="preserve">Depuratore </t>
    </r>
    <r>
      <rPr>
        <b/>
        <sz val="8"/>
        <rFont val="Arial"/>
        <family val="2"/>
      </rPr>
      <t>Verrua Po</t>
    </r>
    <r>
      <rPr>
        <sz val="8"/>
        <rFont val="Arial"/>
        <family val="2"/>
      </rPr>
      <t>. Fornitura diffusori e supporti biomassa.</t>
    </r>
  </si>
  <si>
    <t>Aff. diretto ASCOPOMPE SRL 31/05/12</t>
  </si>
  <si>
    <t>ASCOPOMPE SRL</t>
  </si>
  <si>
    <t>37.3</t>
  </si>
  <si>
    <r>
      <t xml:space="preserve">Depuratore </t>
    </r>
    <r>
      <rPr>
        <b/>
        <sz val="8"/>
        <rFont val="Arial"/>
        <family val="2"/>
      </rPr>
      <t>Verrua Po</t>
    </r>
    <r>
      <rPr>
        <sz val="8"/>
        <rFont val="Arial"/>
        <family val="2"/>
      </rPr>
      <t>. Fornitura compressori (soffianti).</t>
    </r>
  </si>
  <si>
    <t>PN (2) 31/05/12</t>
  </si>
  <si>
    <t>Aerzen Italia Srl</t>
  </si>
  <si>
    <t>37.4</t>
  </si>
  <si>
    <r>
      <t xml:space="preserve">Depuratore </t>
    </r>
    <r>
      <rPr>
        <b/>
        <sz val="8"/>
        <rFont val="Arial"/>
        <family val="2"/>
      </rPr>
      <t>Verrua Po</t>
    </r>
    <r>
      <rPr>
        <sz val="8"/>
        <rFont val="Arial"/>
        <family val="2"/>
      </rPr>
      <t>. Fornitura pompe sommergibili.</t>
    </r>
  </si>
  <si>
    <t>PN (3) 31/05/12</t>
  </si>
  <si>
    <t>Sulzer Pumps Srl</t>
  </si>
  <si>
    <t>37.5</t>
  </si>
  <si>
    <r>
      <t xml:space="preserve">Depuratore </t>
    </r>
    <r>
      <rPr>
        <b/>
        <sz val="8"/>
        <rFont val="Arial"/>
        <family val="2"/>
      </rPr>
      <t>Verrua Po</t>
    </r>
    <r>
      <rPr>
        <sz val="8"/>
        <rFont val="Arial"/>
        <family val="2"/>
      </rPr>
      <t>. Fornitura strumentazione.</t>
    </r>
  </si>
  <si>
    <t>Endress Hauser</t>
  </si>
  <si>
    <r>
      <t xml:space="preserve">Comune di </t>
    </r>
    <r>
      <rPr>
        <b/>
        <sz val="8"/>
        <rFont val="Arial"/>
        <family val="2"/>
      </rPr>
      <t>Marcignago</t>
    </r>
    <r>
      <rPr>
        <sz val="8"/>
        <rFont val="Arial"/>
        <family val="2"/>
      </rPr>
      <t>: rinnovazione rete acquedottistica di Via Amendola e Via Umberto I.</t>
    </r>
  </si>
  <si>
    <t xml:space="preserve">lett. a ASM PV 23/1/12 </t>
  </si>
  <si>
    <t>1/6/12 iniz: 4/6</t>
  </si>
  <si>
    <r>
      <t xml:space="preserve">Comune di </t>
    </r>
    <r>
      <rPr>
        <b/>
        <sz val="8"/>
        <rFont val="Arial"/>
        <family val="2"/>
      </rPr>
      <t>Casorate Primo</t>
    </r>
    <r>
      <rPr>
        <sz val="8"/>
        <rFont val="Arial"/>
        <family val="2"/>
      </rPr>
      <t>. Interventi di rinnovazione e potenziamento della rete acquedottistica comunale. Area Ovest. Via Luxemburg, Via Sturzo, Via Grandi, Via Minzoni.</t>
    </r>
  </si>
  <si>
    <t>22/6/12 iniz: 25/6</t>
  </si>
  <si>
    <t>39.1</t>
  </si>
  <si>
    <t>Perizia Suppletiva</t>
  </si>
  <si>
    <t>39.2</t>
  </si>
  <si>
    <t>25/06/12 (n.15)</t>
  </si>
  <si>
    <t>1' lotto: 12/8/13</t>
  </si>
  <si>
    <t>1'lotto: 17/9/13</t>
  </si>
  <si>
    <t>43.1</t>
  </si>
  <si>
    <t>3/12/12 iniz: 4/12</t>
  </si>
  <si>
    <t>19/12/12 iniz: 7/1/13</t>
  </si>
  <si>
    <t>20/12/12 iniz: 7/1/13</t>
  </si>
  <si>
    <t>05/07/12 (n.15)</t>
  </si>
  <si>
    <t>12/4/12 iniz: 15/4/13</t>
  </si>
  <si>
    <t>49.1</t>
  </si>
  <si>
    <t>perizia</t>
  </si>
  <si>
    <t>49.2</t>
  </si>
  <si>
    <t>10/7: iniz. 11/7/13</t>
  </si>
  <si>
    <t>50.1</t>
  </si>
  <si>
    <t xml:space="preserve">Perizia di variante suppletiva </t>
  </si>
  <si>
    <r>
      <t>11/7/12 (</t>
    </r>
    <r>
      <rPr>
        <b/>
        <sz val="8"/>
        <rFont val="Arial"/>
        <family val="2"/>
      </rPr>
      <t>n.12</t>
    </r>
    <r>
      <rPr>
        <sz val="8"/>
        <rFont val="Arial"/>
        <family val="2"/>
      </rPr>
      <t>)</t>
    </r>
  </si>
  <si>
    <t>Cons.Naz.Coop. di Produz. Lavoro CIRO MENOTTI Soc.Coop. x Azioni (Ravenna) : Serio Soc.Coop. (Cologno al Serio)</t>
  </si>
  <si>
    <t>51.1</t>
  </si>
  <si>
    <t>27/2: iniz. 8/3/13</t>
  </si>
  <si>
    <r>
      <t>11/7/12 (</t>
    </r>
    <r>
      <rPr>
        <b/>
        <sz val="8"/>
        <rFont val="Arial"/>
        <family val="2"/>
      </rPr>
      <t>n.11</t>
    </r>
    <r>
      <rPr>
        <sz val="8"/>
        <rFont val="Arial"/>
        <family val="2"/>
      </rPr>
      <t>)</t>
    </r>
  </si>
  <si>
    <r>
      <rPr>
        <strike/>
        <sz val="8"/>
        <rFont val="Arial"/>
        <family val="2"/>
      </rPr>
      <t>03/08/12</t>
    </r>
    <r>
      <rPr>
        <sz val="8"/>
        <rFont val="Arial"/>
        <family val="2"/>
      </rPr>
      <t>; 09/08/12</t>
    </r>
  </si>
  <si>
    <t>ICES (Arena Po)</t>
  </si>
  <si>
    <t>53.1</t>
  </si>
  <si>
    <t>53.2</t>
  </si>
  <si>
    <t>Perizia Suppletiva e di variante</t>
  </si>
  <si>
    <t>PN 27/9/12 (n. 8)</t>
  </si>
  <si>
    <t>ARNALDO S.A.S. di Arnaldo Demetrio &amp; C.</t>
  </si>
  <si>
    <t>1/3: iniz. 4/3/13</t>
  </si>
  <si>
    <t>55.1</t>
  </si>
  <si>
    <t>PN 5/9/12 (n. 4)</t>
  </si>
  <si>
    <t>ORDINE 26/10/12</t>
  </si>
  <si>
    <t>55.2</t>
  </si>
  <si>
    <t>PN 5/9/12 (n. 2)</t>
  </si>
  <si>
    <t>55.3</t>
  </si>
  <si>
    <t>KSB Italia SpA</t>
  </si>
  <si>
    <t>ORDINE 23/11/12</t>
  </si>
  <si>
    <t>55.4</t>
  </si>
  <si>
    <t>PN 5/9/12 (n. 3)</t>
  </si>
  <si>
    <t>ORDINE 8/11/12</t>
  </si>
  <si>
    <t>55.5</t>
  </si>
  <si>
    <t>55.6</t>
  </si>
  <si>
    <t>PN 12/9/12 (n. 3)</t>
  </si>
  <si>
    <t>Elitalia Impianti Srl</t>
  </si>
  <si>
    <t>55.7</t>
  </si>
  <si>
    <t>GUCE 4/12/12; GURI 3/12/12; giornali 6-7/12/12</t>
  </si>
  <si>
    <t>ATI MICRODYN NADIR GmbH S.r.l. / ATZWanger S.p.A.</t>
  </si>
  <si>
    <t>90+60</t>
  </si>
  <si>
    <t>10/1/14 iniz: 13/1</t>
  </si>
  <si>
    <t>55.8</t>
  </si>
  <si>
    <t xml:space="preserve">Email ad AscoPompe 8/10/12 </t>
  </si>
  <si>
    <t>PN 11/9/12 (n.5)</t>
  </si>
  <si>
    <t>17/12/12 iniz: 7/1/13</t>
  </si>
  <si>
    <t>56.1</t>
  </si>
  <si>
    <t xml:space="preserve">Variante modificativa e suppletiva </t>
  </si>
  <si>
    <r>
      <t xml:space="preserve">Comune di </t>
    </r>
    <r>
      <rPr>
        <b/>
        <sz val="8"/>
        <rFont val="Arial"/>
        <family val="2"/>
      </rPr>
      <t>Pavia</t>
    </r>
    <r>
      <rPr>
        <sz val="8"/>
        <rFont val="Arial"/>
        <family val="2"/>
      </rPr>
      <t xml:space="preserve">. Lavori di sistemazione e messa in sicurezza scaricatori di piena rete fognaria </t>
    </r>
    <r>
      <rPr>
        <b/>
        <sz val="8"/>
        <rFont val="Arial"/>
        <family val="2"/>
      </rPr>
      <t>Via Lungoticino</t>
    </r>
    <r>
      <rPr>
        <sz val="8"/>
        <rFont val="Arial"/>
        <family val="2"/>
      </rPr>
      <t xml:space="preserve"> Visconti.</t>
    </r>
  </si>
  <si>
    <t>PN 18/9/12 (n.5)</t>
  </si>
  <si>
    <t>Co.Gen. Costruzioni Generali Srl (Trivolzio)</t>
  </si>
  <si>
    <t>57.1</t>
  </si>
  <si>
    <t>57.2</t>
  </si>
  <si>
    <t>Variante modificativa e suppletiva n.2</t>
  </si>
  <si>
    <t>PN 15/1/13 (n.3)</t>
  </si>
  <si>
    <t>Brogioli SRL (Pieve del Cairo)</t>
  </si>
  <si>
    <t>ordine del 19/2/13</t>
  </si>
  <si>
    <r>
      <t xml:space="preserve">Demolizione serbatoio pensile in loc. </t>
    </r>
    <r>
      <rPr>
        <b/>
        <sz val="8"/>
        <rFont val="Arial"/>
        <family val="2"/>
      </rPr>
      <t>San Cipriano Po</t>
    </r>
    <r>
      <rPr>
        <sz val="8"/>
        <rFont val="Arial"/>
        <family val="2"/>
      </rPr>
      <t>.</t>
    </r>
  </si>
  <si>
    <t>PN 6/2/13 (n.5)</t>
  </si>
  <si>
    <t>SIAG S.r.l. (Parma)</t>
  </si>
  <si>
    <t>9/7 iniz: 15/7/13</t>
  </si>
  <si>
    <r>
      <t xml:space="preserve">Comune di </t>
    </r>
    <r>
      <rPr>
        <b/>
        <sz val="8"/>
        <rFont val="Arial"/>
        <family val="2"/>
      </rPr>
      <t>Garlasco</t>
    </r>
    <r>
      <rPr>
        <sz val="8"/>
        <rFont val="Arial"/>
        <family val="2"/>
      </rPr>
      <t xml:space="preserve">. Potenziamento della centrale di potabilizzazione </t>
    </r>
    <r>
      <rPr>
        <b/>
        <sz val="8"/>
        <rFont val="Arial"/>
        <family val="2"/>
      </rPr>
      <t>Santa Lucia</t>
    </r>
    <r>
      <rPr>
        <sz val="8"/>
        <rFont val="Arial"/>
        <family val="2"/>
      </rPr>
      <t>. CIG 52033872CA.</t>
    </r>
  </si>
  <si>
    <t>27/06/13 (n.14)</t>
  </si>
  <si>
    <t>19/7/13 h 12,00</t>
  </si>
  <si>
    <t>DI MARINO Srl - Torricella Peligna (CH)</t>
  </si>
  <si>
    <t>45+150</t>
  </si>
  <si>
    <t>GURI 28/6/13 + sito + oss / Rettifica e Riapertura 22/7/13</t>
  </si>
  <si>
    <r>
      <rPr>
        <strike/>
        <sz val="8"/>
        <rFont val="Arial"/>
        <family val="2"/>
      </rPr>
      <t>29/07/13</t>
    </r>
    <r>
      <rPr>
        <sz val="8"/>
        <rFont val="Arial"/>
        <family val="2"/>
      </rPr>
      <t xml:space="preserve">  </t>
    </r>
    <r>
      <rPr>
        <b/>
        <sz val="8"/>
        <rFont val="Arial"/>
        <family val="2"/>
      </rPr>
      <t>5/9/13 h. 12,00</t>
    </r>
  </si>
  <si>
    <t>FEA Srl (Castelfranco Emilia - MO)</t>
  </si>
  <si>
    <t>consegna: 14/05/2014; inizio lavori: 19/5</t>
  </si>
  <si>
    <t>13/5 iniz: 14/5/14</t>
  </si>
  <si>
    <t>61.1</t>
  </si>
  <si>
    <t>03/09/13 (n.5)</t>
  </si>
  <si>
    <t>23/9/13 h 12,00</t>
  </si>
  <si>
    <t>NEGRETTI</t>
  </si>
  <si>
    <t>13/1 iniz: 15/1/14</t>
  </si>
  <si>
    <r>
      <t xml:space="preserve">Comune di </t>
    </r>
    <r>
      <rPr>
        <b/>
        <sz val="8"/>
        <rFont val="Arial"/>
        <family val="2"/>
      </rPr>
      <t>Sannazzaro de' Burgondi</t>
    </r>
    <r>
      <rPr>
        <sz val="8"/>
        <rFont val="Arial"/>
        <family val="2"/>
      </rPr>
      <t>. Sistemazione della rete fognaria comunale a servizio delle vie Pastorini, Salvadeo, Gianola, Mattei, Serenpiocca.</t>
    </r>
  </si>
  <si>
    <t>FRANCHI COSTRUZIONI EDILI SRL</t>
  </si>
  <si>
    <t>ORDINE 24/10/13</t>
  </si>
  <si>
    <t>65.1</t>
  </si>
  <si>
    <t>28/8 iniz: 1/9/14</t>
  </si>
  <si>
    <t>8/9 iniz: 16/9/14</t>
  </si>
  <si>
    <t>15/10 iniz: 20/10/14</t>
  </si>
  <si>
    <t>4/9 iniz: 8/9/14</t>
  </si>
  <si>
    <t>CO.E.S.I. SRL (Scaldasole PV)</t>
  </si>
  <si>
    <t>19/11 iniz: 20/11/14</t>
  </si>
  <si>
    <r>
      <t xml:space="preserve">Comune di </t>
    </r>
    <r>
      <rPr>
        <b/>
        <sz val="8"/>
        <rFont val="Arial"/>
        <family val="2"/>
      </rPr>
      <t>Sant’Alessio con Vialone</t>
    </r>
    <r>
      <rPr>
        <sz val="8"/>
        <rFont val="Arial"/>
        <family val="2"/>
      </rPr>
      <t>: lavori  di trivellazione e realizzazione delle opere accessorie alla realizzazione di un pozzo per acqua potabile in Sant’Alessio con Vialone (PV) capoluogo.</t>
    </r>
  </si>
  <si>
    <t>Affid. Diretto per urgenza 12/6/14 (offerta del 5/6/14)</t>
  </si>
  <si>
    <t>17/9 iniz: 18/9/14</t>
  </si>
  <si>
    <r>
      <t xml:space="preserve">Comune di </t>
    </r>
    <r>
      <rPr>
        <b/>
        <sz val="8"/>
        <rFont val="Arial"/>
        <family val="2"/>
      </rPr>
      <t>Genzone.</t>
    </r>
    <r>
      <rPr>
        <sz val="8"/>
        <rFont val="Arial"/>
        <family val="2"/>
      </rPr>
      <t xml:space="preserve"> Lavori di trivellazione e realizzazione delle opere accessorie alla realizzazione di un pozzo per acqua potabile.</t>
    </r>
  </si>
  <si>
    <t>P.N. 11/12/14 (n. 10)</t>
  </si>
  <si>
    <r>
      <rPr>
        <b/>
        <sz val="7"/>
        <rFont val="Arial"/>
        <family val="2"/>
      </rPr>
      <t>ICES SRL</t>
    </r>
    <r>
      <rPr>
        <sz val="7"/>
        <rFont val="Arial"/>
        <family val="2"/>
      </rPr>
      <t xml:space="preserve"> (Arena Po)</t>
    </r>
  </si>
  <si>
    <t>30/4 iniz: 6/5/15</t>
  </si>
  <si>
    <r>
      <t xml:space="preserve">Comune di Voghera – tombinatura fognatura comunale a cielo aperto tratto </t>
    </r>
    <r>
      <rPr>
        <b/>
        <sz val="8"/>
        <rFont val="Arial"/>
        <family val="2"/>
      </rPr>
      <t>Voghera-Oriolo</t>
    </r>
    <r>
      <rPr>
        <sz val="8"/>
        <rFont val="Arial"/>
        <family val="2"/>
      </rPr>
      <t>.</t>
    </r>
  </si>
  <si>
    <t>P.N. 26/2/15 (n. 14)</t>
  </si>
  <si>
    <r>
      <rPr>
        <b/>
        <sz val="7"/>
        <rFont val="Arial"/>
        <family val="2"/>
      </rPr>
      <t>RONZONI SRL</t>
    </r>
    <r>
      <rPr>
        <sz val="7"/>
        <rFont val="Arial"/>
        <family val="2"/>
      </rPr>
      <t xml:space="preserve"> (Seveso - MB)</t>
    </r>
  </si>
  <si>
    <t>20/1/17 iniz: 23/1</t>
  </si>
  <si>
    <r>
      <t xml:space="preserve">Comune di </t>
    </r>
    <r>
      <rPr>
        <b/>
        <sz val="8"/>
        <rFont val="Arial"/>
        <family val="2"/>
      </rPr>
      <t>Varzi</t>
    </r>
    <r>
      <rPr>
        <sz val="8"/>
        <rFont val="Arial"/>
        <family val="2"/>
      </rPr>
      <t xml:space="preserve"> – Collegamento idrico delle frazioni </t>
    </r>
    <r>
      <rPr>
        <b/>
        <sz val="8"/>
        <rFont val="Arial"/>
        <family val="2"/>
      </rPr>
      <t>Casa Bertella</t>
    </r>
    <r>
      <rPr>
        <sz val="8"/>
        <rFont val="Arial"/>
        <family val="2"/>
      </rPr>
      <t>, Caposelva e Cà de No. Primo stralcio: collegamento Casa Bertella - Caposelva.</t>
    </r>
  </si>
  <si>
    <t>P.N. 2/3/15 (n. 15)</t>
  </si>
  <si>
    <r>
      <rPr>
        <b/>
        <sz val="8"/>
        <rFont val="Arial"/>
        <family val="2"/>
      </rPr>
      <t>ICES SRL</t>
    </r>
    <r>
      <rPr>
        <sz val="8"/>
        <rFont val="Arial"/>
        <family val="2"/>
      </rPr>
      <t xml:space="preserve"> (Arena Po)</t>
    </r>
  </si>
  <si>
    <r>
      <t xml:space="preserve">Comune di </t>
    </r>
    <r>
      <rPr>
        <b/>
        <sz val="8"/>
        <rFont val="Arial"/>
        <family val="2"/>
      </rPr>
      <t>Gambolò</t>
    </r>
    <r>
      <rPr>
        <sz val="8"/>
        <rFont val="Arial"/>
        <family val="2"/>
      </rPr>
      <t xml:space="preserve"> – Rifacimento collettore fognario terminale e collettamento scarichi non trattati – Stralcio</t>
    </r>
    <r>
      <rPr>
        <b/>
        <sz val="8"/>
        <rFont val="Arial"/>
        <family val="2"/>
      </rPr>
      <t xml:space="preserve"> Via Mazzini</t>
    </r>
    <r>
      <rPr>
        <sz val="8"/>
        <rFont val="Arial"/>
        <family val="2"/>
      </rPr>
      <t>.</t>
    </r>
  </si>
  <si>
    <t>P.N. 2/3/15 (n. 5)</t>
  </si>
  <si>
    <t>27/3/15 ore 12</t>
  </si>
  <si>
    <r>
      <rPr>
        <b/>
        <sz val="8"/>
        <rFont val="Arial"/>
        <family val="2"/>
      </rPr>
      <t>VI.COS.</t>
    </r>
    <r>
      <rPr>
        <sz val="8"/>
        <rFont val="Arial"/>
        <family val="2"/>
      </rPr>
      <t xml:space="preserve"> (Vigevano)</t>
    </r>
  </si>
  <si>
    <t>4/11 iniz: 9/11/15</t>
  </si>
  <si>
    <r>
      <t xml:space="preserve">Intervento di collettamento delle acque reflue, ora recapitate al depuratore </t>
    </r>
    <r>
      <rPr>
        <b/>
        <sz val="8"/>
        <rFont val="Arial"/>
        <family val="2"/>
      </rPr>
      <t>Cava Manara</t>
    </r>
    <r>
      <rPr>
        <sz val="8"/>
        <rFont val="Arial"/>
        <family val="2"/>
      </rPr>
      <t xml:space="preserve"> - </t>
    </r>
    <r>
      <rPr>
        <b/>
        <sz val="8"/>
        <rFont val="Arial"/>
        <family val="2"/>
      </rPr>
      <t>Mezzana Corti</t>
    </r>
    <r>
      <rPr>
        <sz val="8"/>
        <rFont val="Arial"/>
        <family val="2"/>
      </rPr>
      <t>, al Depuratore di Cava Manara.</t>
    </r>
  </si>
  <si>
    <t>P.N. 3/3/15 (n. 15)</t>
  </si>
  <si>
    <r>
      <rPr>
        <b/>
        <sz val="8"/>
        <rFont val="Arial"/>
        <family val="2"/>
      </rPr>
      <t>EDILTECNO</t>
    </r>
    <r>
      <rPr>
        <sz val="8"/>
        <rFont val="Arial"/>
        <family val="2"/>
      </rPr>
      <t xml:space="preserve"> Srl (Voghera)</t>
    </r>
  </si>
  <si>
    <t>23/6 iniz: 29/6/15</t>
  </si>
  <si>
    <r>
      <rPr>
        <strike/>
        <sz val="8"/>
        <rFont val="Arial"/>
        <family val="2"/>
      </rPr>
      <t>07/06/16</t>
    </r>
    <r>
      <rPr>
        <sz val="8"/>
        <rFont val="Arial"/>
        <family val="2"/>
      </rPr>
      <t>; 27/5/16</t>
    </r>
  </si>
  <si>
    <r>
      <t xml:space="preserve">Comune di </t>
    </r>
    <r>
      <rPr>
        <b/>
        <sz val="8"/>
        <rFont val="Arial"/>
        <family val="2"/>
      </rPr>
      <t>Linarolo</t>
    </r>
    <r>
      <rPr>
        <sz val="8"/>
        <rFont val="Arial"/>
        <family val="2"/>
      </rPr>
      <t xml:space="preserve"> – Potenziamento impianto di depurazione comunale di Linarolo Capoluogo. 1° lotto.</t>
    </r>
  </si>
  <si>
    <t>P.N. 3/3/15 (n. 7)</t>
  </si>
  <si>
    <r>
      <rPr>
        <b/>
        <sz val="8"/>
        <rFont val="Arial"/>
        <family val="2"/>
      </rPr>
      <t>Castel d'Agogna</t>
    </r>
    <r>
      <rPr>
        <sz val="8"/>
        <rFont val="Arial"/>
        <family val="2"/>
      </rPr>
      <t>. Estensione rete fognaria zona Via Leonardo da Vinci e Collettamento zona industriale a impianto di depurazione.</t>
    </r>
  </si>
  <si>
    <t>P.N. 4/3/15 (n. 15)</t>
  </si>
  <si>
    <t>30/3/15 ore 12</t>
  </si>
  <si>
    <r>
      <rPr>
        <b/>
        <sz val="8"/>
        <rFont val="Arial"/>
        <family val="2"/>
      </rPr>
      <t>C.E.F.E.R.</t>
    </r>
    <r>
      <rPr>
        <sz val="8"/>
        <rFont val="Arial"/>
        <family val="2"/>
      </rPr>
      <t xml:space="preserve"> S.R.L. (Vigevano)</t>
    </r>
  </si>
  <si>
    <t>CONSEGNA ANTICIPATA 3/6/15</t>
  </si>
  <si>
    <r>
      <t xml:space="preserve">Fognatura </t>
    </r>
    <r>
      <rPr>
        <b/>
        <sz val="8"/>
        <rFont val="Arial"/>
        <family val="2"/>
      </rPr>
      <t>San Martino Siccomario</t>
    </r>
    <r>
      <rPr>
        <sz val="8"/>
        <rFont val="Arial"/>
        <family val="2"/>
      </rPr>
      <t xml:space="preserve">. Completamento della stazione di sollevamento di </t>
    </r>
    <r>
      <rPr>
        <b/>
        <sz val="8"/>
        <rFont val="Arial"/>
        <family val="2"/>
      </rPr>
      <t>Via Marconi</t>
    </r>
    <r>
      <rPr>
        <sz val="8"/>
        <rFont val="Arial"/>
        <family val="2"/>
      </rPr>
      <t>.</t>
    </r>
  </si>
  <si>
    <t>P.N. 5/3/15 (n. 15)</t>
  </si>
  <si>
    <t>2/4/15 ore 12</t>
  </si>
  <si>
    <r>
      <rPr>
        <b/>
        <sz val="8"/>
        <rFont val="Arial"/>
        <family val="2"/>
      </rPr>
      <t>SITALCEA S.R.L.</t>
    </r>
    <r>
      <rPr>
        <sz val="8"/>
        <rFont val="Arial"/>
        <family val="2"/>
      </rPr>
      <t xml:space="preserve"> (Pavia)</t>
    </r>
  </si>
  <si>
    <r>
      <t xml:space="preserve">Comune di </t>
    </r>
    <r>
      <rPr>
        <b/>
        <sz val="8"/>
        <rFont val="Arial"/>
        <family val="2"/>
      </rPr>
      <t>Miradolo Terme</t>
    </r>
    <r>
      <rPr>
        <sz val="8"/>
        <rFont val="Arial"/>
        <family val="2"/>
      </rPr>
      <t xml:space="preserve"> - Realizzazione opere di collettamento fognario Miradolo Terme capoluogo, Terme di Miradolo e Camporinaldo.</t>
    </r>
  </si>
  <si>
    <t>P.N. 22/6/15 (n. 26)</t>
  </si>
  <si>
    <t>10/7/15 ore 12</t>
  </si>
  <si>
    <t>EUROSTRADE SRL (Pavia)</t>
  </si>
  <si>
    <t>CONSEGNA ANTICIPATA 29/7/15</t>
  </si>
  <si>
    <t>1/12 iniz: 3/12/15</t>
  </si>
  <si>
    <r>
      <t xml:space="preserve">Comune di Vidigulfo. Realizzazione impianto di depurazione comunale. (Titolo prog.prelim. : Depuratore </t>
    </r>
    <r>
      <rPr>
        <b/>
        <sz val="8"/>
        <rFont val="Arial"/>
        <family val="2"/>
      </rPr>
      <t>Vidigulfo.</t>
    </r>
    <r>
      <rPr>
        <sz val="8"/>
        <rFont val="Arial"/>
        <family val="2"/>
      </rPr>
      <t xml:space="preserve"> 2’ stralcio: realizzazione del depuratore. € 2.583.500).</t>
    </r>
  </si>
  <si>
    <t>26/6/15 GURI + sito; 29/6 oss</t>
  </si>
  <si>
    <t>8/7/15 h 12</t>
  </si>
  <si>
    <t>P.N. 10/7/15 (n. 25)</t>
  </si>
  <si>
    <t>31/7/15 ore 12</t>
  </si>
  <si>
    <r>
      <t xml:space="preserve">Severn Trent Italia </t>
    </r>
    <r>
      <rPr>
        <sz val="8"/>
        <rFont val="Arial"/>
        <family val="2"/>
      </rPr>
      <t xml:space="preserve">ATI con </t>
    </r>
    <r>
      <rPr>
        <b/>
        <sz val="8"/>
        <rFont val="Arial"/>
        <family val="2"/>
      </rPr>
      <t>R.Costruzioni</t>
    </r>
  </si>
  <si>
    <t>8/3 iniz: 9/3/16</t>
  </si>
  <si>
    <t>83.1</t>
  </si>
  <si>
    <t>Comune di Vidigulfo. Realizzazione impianto di depurazione comunale.  Perizia suplettiva di variante del 22/2/17 + proroga termine 90</t>
  </si>
  <si>
    <t>P.N. 20/8/15 (n. 116)</t>
  </si>
  <si>
    <t>9/9/15 ore 12</t>
  </si>
  <si>
    <r>
      <rPr>
        <b/>
        <sz val="7"/>
        <rFont val="Arial"/>
        <family val="2"/>
      </rPr>
      <t>COSTRUZIONI STRADALI B.G.F. S.R.L.</t>
    </r>
    <r>
      <rPr>
        <sz val="7"/>
        <rFont val="Arial"/>
        <family val="2"/>
      </rPr>
      <t xml:space="preserve"> (Issogne - AO)</t>
    </r>
  </si>
  <si>
    <t>CONSEGNA ANTICIPATA  25/09/2015</t>
  </si>
  <si>
    <t>P.N. 20/8/15 (n. 123)</t>
  </si>
  <si>
    <r>
      <rPr>
        <b/>
        <sz val="8"/>
        <rFont val="Arial"/>
        <family val="2"/>
      </rPr>
      <t xml:space="preserve">CO.GEN. COSTRUZIONI GENERALI S.R.L. </t>
    </r>
    <r>
      <rPr>
        <sz val="8"/>
        <rFont val="Arial"/>
        <family val="2"/>
      </rPr>
      <t>(Trivolzio -PV)</t>
    </r>
  </si>
  <si>
    <r>
      <t xml:space="preserve">Comune di </t>
    </r>
    <r>
      <rPr>
        <b/>
        <sz val="8"/>
        <rFont val="Arial"/>
        <family val="2"/>
      </rPr>
      <t>Cassolnovo.</t>
    </r>
    <r>
      <rPr>
        <sz val="8"/>
        <rFont val="Arial"/>
        <family val="2"/>
      </rPr>
      <t xml:space="preserve"> Adeguamento alla normativa degli scarichi fognari: realizzazione stazioni di sollevamento Frazione Molino del Conte e collettamento a depuratore comunale.</t>
    </r>
  </si>
  <si>
    <t>21/10/15 Albo Pretorio Com. Cassolnovo e PVA + sito web</t>
  </si>
  <si>
    <t>86.1</t>
  </si>
  <si>
    <t>Atto aggiuntivo del 29.7.16</t>
  </si>
  <si>
    <t>18/3/16 Albo Pretorio com Montalto e PVA; 2 siti web</t>
  </si>
  <si>
    <r>
      <rPr>
        <b/>
        <sz val="8"/>
        <rFont val="Arial"/>
        <family val="2"/>
      </rPr>
      <t>CERUTTI COSTRUZIONI</t>
    </r>
    <r>
      <rPr>
        <sz val="8"/>
        <rFont val="Arial"/>
        <family val="2"/>
      </rPr>
      <t xml:space="preserve"> (Montecalvo V.)</t>
    </r>
  </si>
  <si>
    <t>7/12 iniz: 12/12/16</t>
  </si>
  <si>
    <t>4/3/16 Albo Pretorio Com. Bastida, Pizzale, Pancarana, Castelletto e PVA + 5 siti web</t>
  </si>
  <si>
    <r>
      <t>BONACINA SRL</t>
    </r>
    <r>
      <rPr>
        <sz val="8"/>
        <rFont val="Arial"/>
        <family val="2"/>
      </rPr>
      <t xml:space="preserve"> (Galbiate - LC)</t>
    </r>
  </si>
  <si>
    <t>4/3/16 Albo Pretorio Com. Cura Carpignano e PVA + 2 siti web</t>
  </si>
  <si>
    <r>
      <t>CS COSTRUZIONI SRL</t>
    </r>
    <r>
      <rPr>
        <sz val="8"/>
        <rFont val="Arial"/>
        <family val="2"/>
      </rPr>
      <t xml:space="preserve"> (Fossombrone - PU)</t>
    </r>
  </si>
  <si>
    <t>4/8 iniz: 29/8/16</t>
  </si>
  <si>
    <t>11/3/16 GURI + sito; oss</t>
  </si>
  <si>
    <r>
      <rPr>
        <b/>
        <sz val="8"/>
        <rFont val="Arial"/>
        <family val="2"/>
      </rPr>
      <t>SIA Società Italiana Acque Srl</t>
    </r>
    <r>
      <rPr>
        <sz val="8"/>
        <rFont val="Arial"/>
        <family val="2"/>
      </rPr>
      <t xml:space="preserve"> (NA)</t>
    </r>
  </si>
  <si>
    <t>91.1</t>
  </si>
  <si>
    <t>Perizia suppletiva e di variante del 16/6/17</t>
  </si>
  <si>
    <r>
      <t xml:space="preserve">Comune di </t>
    </r>
    <r>
      <rPr>
        <b/>
        <sz val="8"/>
        <rFont val="Arial"/>
        <family val="2"/>
      </rPr>
      <t>Albonese.</t>
    </r>
    <r>
      <rPr>
        <sz val="8"/>
        <rFont val="Arial"/>
        <family val="2"/>
      </rPr>
      <t xml:space="preserve"> Trattamento dei reflui dell'agglomerato di Albonese. Collettamento Albonese - Mortara.</t>
    </r>
  </si>
  <si>
    <t>25/3/16 Albo Pretorio com Albonese + Mortara e PVA; 3 siti web</t>
  </si>
  <si>
    <t>Apert. Ris. 12/4 h 9,30</t>
  </si>
  <si>
    <r>
      <rPr>
        <b/>
        <sz val="8"/>
        <rFont val="Arial"/>
        <family val="2"/>
      </rPr>
      <t>LC General Scavi Srl</t>
    </r>
    <r>
      <rPr>
        <sz val="8"/>
        <rFont val="Arial"/>
        <family val="2"/>
      </rPr>
      <t xml:space="preserve"> (Cilavegna)</t>
    </r>
  </si>
  <si>
    <t>ID 188</t>
  </si>
  <si>
    <t>30/11/16 GURI + sito; 1/12/16 oss</t>
  </si>
  <si>
    <r>
      <rPr>
        <b/>
        <sz val="8"/>
        <rFont val="Arial"/>
        <family val="2"/>
      </rPr>
      <t>ARROS SRL</t>
    </r>
    <r>
      <rPr>
        <sz val="8"/>
        <rFont val="Arial"/>
        <family val="2"/>
      </rPr>
      <t xml:space="preserve"> (Broni) 85% Ati con </t>
    </r>
    <r>
      <rPr>
        <b/>
        <sz val="8"/>
        <rFont val="Arial"/>
        <family val="2"/>
      </rPr>
      <t>SCLAVI SRL</t>
    </r>
    <r>
      <rPr>
        <sz val="8"/>
        <rFont val="Arial"/>
        <family val="2"/>
      </rPr>
      <t xml:space="preserve"> (Stradella) 15%</t>
    </r>
  </si>
  <si>
    <t>gara 210; offerta 150</t>
  </si>
  <si>
    <t>CONS. PARZ. 10/07/17; 8/2/18 CONS. DEFINIT.</t>
  </si>
  <si>
    <t>7/7 iniz: 10/7/17</t>
  </si>
  <si>
    <t>93.1</t>
  </si>
  <si>
    <t>Atto sottomissione per lavori supplementari del 5/7/18</t>
  </si>
  <si>
    <t>ID 82</t>
  </si>
  <si>
    <t>P.N. 6/12/16 (n.5)</t>
  </si>
  <si>
    <r>
      <t>Inteco Srl</t>
    </r>
    <r>
      <rPr>
        <sz val="8"/>
        <rFont val="Arial"/>
        <family val="2"/>
      </rPr>
      <t xml:space="preserve"> (Vimercate - MB)</t>
    </r>
  </si>
  <si>
    <t>ID191</t>
  </si>
  <si>
    <t>29/12/16 Albo Pretorio com Voghera e PVA; 2 siti web</t>
  </si>
  <si>
    <r>
      <rPr>
        <b/>
        <sz val="8"/>
        <rFont val="Arial"/>
        <family val="2"/>
      </rPr>
      <t>Orizzonte Verde Srl</t>
    </r>
    <r>
      <rPr>
        <sz val="8"/>
        <rFont val="Arial"/>
        <family val="2"/>
      </rPr>
      <t xml:space="preserve"> (Nerviano - MI)</t>
    </r>
  </si>
  <si>
    <t>Comune di Sommo. Manutenzione straordinaria impianto di depurazione. CIG 6957967801</t>
  </si>
  <si>
    <t>ID238/3</t>
  </si>
  <si>
    <t>P.N. 27/1/17 (n.32)</t>
  </si>
  <si>
    <r>
      <rPr>
        <b/>
        <sz val="8"/>
        <rFont val="Arial"/>
        <family val="2"/>
      </rPr>
      <t>GEOS Consorzio Imprese Riunite</t>
    </r>
    <r>
      <rPr>
        <sz val="8"/>
        <rFont val="Arial"/>
        <family val="2"/>
      </rPr>
      <t xml:space="preserve"> (Lodi)</t>
    </r>
  </si>
  <si>
    <t>18/4/17 cons.anticipata</t>
  </si>
  <si>
    <t>12/4 iniz: 18/4/17</t>
  </si>
  <si>
    <t>96.1</t>
  </si>
  <si>
    <t>Perizia suplettiva e di variante del 4/9/17</t>
  </si>
  <si>
    <t>Comuni di Tromello e Garlasco: collegamento reti idriche di Tromello-Garlasco.</t>
  </si>
  <si>
    <t>ID173</t>
  </si>
  <si>
    <t>6/2/17 GURI + sito; 15/2 oss</t>
  </si>
  <si>
    <t>gara 180; offerta 120</t>
  </si>
  <si>
    <t>1/2 iniz: 8/2/18</t>
  </si>
  <si>
    <r>
      <t xml:space="preserve">Comune di Pavia. Opere civili per impianti di potabilizzazione in zona Via Montebello della Battaglia e Borgo Ticino. </t>
    </r>
    <r>
      <rPr>
        <u/>
        <sz val="8"/>
        <rFont val="Arial"/>
        <family val="2"/>
      </rPr>
      <t>(PLATEE !!)</t>
    </r>
  </si>
  <si>
    <t>ID238/2</t>
  </si>
  <si>
    <t>14/2/17 Albo Pretorio com Pavia e PVA; 2 siti web</t>
  </si>
  <si>
    <r>
      <rPr>
        <b/>
        <sz val="8"/>
        <rFont val="Arial"/>
        <family val="2"/>
      </rPr>
      <t>Franchi F.lli</t>
    </r>
    <r>
      <rPr>
        <sz val="8"/>
        <rFont val="Arial"/>
        <family val="2"/>
      </rPr>
      <t xml:space="preserve"> (Sannazzaro) ATI con </t>
    </r>
    <r>
      <rPr>
        <b/>
        <sz val="8"/>
        <rFont val="Arial"/>
        <family val="2"/>
      </rPr>
      <t>E.T.I. Srl</t>
    </r>
    <r>
      <rPr>
        <sz val="8"/>
        <rFont val="Arial"/>
        <family val="2"/>
      </rPr>
      <t xml:space="preserve"> (Pavia)</t>
    </r>
  </si>
  <si>
    <t>23/6 iniz: 26/6/17</t>
  </si>
  <si>
    <t>98.1</t>
  </si>
  <si>
    <t>Atto aggiuntivo del 5/6/18</t>
  </si>
  <si>
    <t>lom/olt</t>
  </si>
  <si>
    <t>238/6</t>
  </si>
  <si>
    <t>P.N. 21/2/17 (n.10)</t>
  </si>
  <si>
    <r>
      <t>Saviatesta</t>
    </r>
    <r>
      <rPr>
        <sz val="8"/>
        <rFont val="Arial"/>
        <family val="2"/>
      </rPr>
      <t xml:space="preserve"> (Goito - MN)</t>
    </r>
  </si>
  <si>
    <t>CONS. PARZ. 17/8; CONS. DEF. 20/11/17</t>
  </si>
  <si>
    <t>25/8 iniz: 28/8/17</t>
  </si>
  <si>
    <t>ID147</t>
  </si>
  <si>
    <t>28/2/17 Albo Pretorio com Mortara e PVA; 2 siti web</t>
  </si>
  <si>
    <r>
      <rPr>
        <b/>
        <sz val="8"/>
        <rFont val="Arial"/>
        <family val="2"/>
      </rPr>
      <t>Co.e.s.i. Srl</t>
    </r>
    <r>
      <rPr>
        <sz val="8"/>
        <rFont val="Arial"/>
        <family val="2"/>
      </rPr>
      <t xml:space="preserve"> (Scaldasole - PV)</t>
    </r>
  </si>
  <si>
    <t>ID111</t>
  </si>
  <si>
    <t>14/3/17 Albo Pretorio com Rognano e PVA; 2 siti web</t>
  </si>
  <si>
    <t>9/10 iniz: 13/9/17</t>
  </si>
  <si>
    <t>ID 238/1</t>
  </si>
  <si>
    <t>P.N. 29/3/17 (n.13)</t>
  </si>
  <si>
    <r>
      <rPr>
        <b/>
        <sz val="8"/>
        <rFont val="Arial"/>
        <family val="2"/>
      </rPr>
      <t>Tec.Am Srl</t>
    </r>
    <r>
      <rPr>
        <sz val="8"/>
        <rFont val="Arial"/>
        <family val="2"/>
      </rPr>
      <t xml:space="preserve"> (Albino - BG)</t>
    </r>
  </si>
  <si>
    <t>21/5/18 iniz: 6/10/17</t>
  </si>
  <si>
    <t>102.1</t>
  </si>
  <si>
    <t>5/7/18 Atto sottomissione</t>
  </si>
  <si>
    <r>
      <t xml:space="preserve">Comune di </t>
    </r>
    <r>
      <rPr>
        <b/>
        <sz val="8"/>
        <rFont val="Arial"/>
        <family val="2"/>
      </rPr>
      <t>Costa De' Nobili</t>
    </r>
    <r>
      <rPr>
        <sz val="8"/>
        <rFont val="Arial"/>
        <family val="2"/>
      </rPr>
      <t>. Collettamento scarichi non trattati. CUP H33J09000020005 CIG 70472441B9 (ex 'Realizzazione opere di collettamento fognario Costa de' Nobili' € 70.000 Prelim. approv. 26/2/10)</t>
    </r>
  </si>
  <si>
    <t>ID39</t>
  </si>
  <si>
    <t>12/4/17 Albo Pretorio com Costa e PVA; 2 siti web</t>
  </si>
  <si>
    <r>
      <t>Pignataro Trivellazioni</t>
    </r>
    <r>
      <rPr>
        <sz val="8"/>
        <rFont val="Arial"/>
        <family val="2"/>
      </rPr>
      <t xml:space="preserve"> (Terranova Da Sibari - CS)</t>
    </r>
  </si>
  <si>
    <t>15/12 iniz: 18/12/17</t>
  </si>
  <si>
    <t>103.1</t>
  </si>
  <si>
    <t>Perizia suppletiva di variante del 23/7/18</t>
  </si>
  <si>
    <t>238/7</t>
  </si>
  <si>
    <t>26/4/17 Albo Pretorio comuni interessati+Voghera e PVA; siti web</t>
  </si>
  <si>
    <r>
      <rPr>
        <b/>
        <sz val="8"/>
        <rFont val="Arial"/>
        <family val="2"/>
      </rPr>
      <t xml:space="preserve">Favini Srl </t>
    </r>
    <r>
      <rPr>
        <sz val="8"/>
        <rFont val="Arial"/>
        <family val="2"/>
      </rPr>
      <t>(Brescia)</t>
    </r>
  </si>
  <si>
    <r>
      <t xml:space="preserve">Comune di Casteggio. Realizzazione fognatura ad est del capoluogo - zona </t>
    </r>
    <r>
      <rPr>
        <b/>
        <sz val="8"/>
        <rFont val="Arial"/>
        <family val="2"/>
      </rPr>
      <t>Via Milano</t>
    </r>
  </si>
  <si>
    <t>ID37</t>
  </si>
  <si>
    <t>16/6/17 Albo Pretorio comune Casteggio e PVA; siti web</t>
  </si>
  <si>
    <r>
      <rPr>
        <b/>
        <sz val="8"/>
        <rFont val="Arial"/>
        <family val="2"/>
      </rPr>
      <t>AROLDI F.LLI</t>
    </r>
    <r>
      <rPr>
        <sz val="8"/>
        <rFont val="Arial"/>
        <family val="2"/>
      </rPr>
      <t xml:space="preserve"> (Casalmaggiore - CR)</t>
    </r>
  </si>
  <si>
    <t>12/10/17 (parz)</t>
  </si>
  <si>
    <t>17/11 iniz: 20/11/17</t>
  </si>
  <si>
    <t>238/5</t>
  </si>
  <si>
    <t>28/6/17 Albo Pretorio comuni interessati e PVA; siti web</t>
  </si>
  <si>
    <r>
      <rPr>
        <b/>
        <sz val="8"/>
        <rFont val="Arial"/>
        <family val="2"/>
      </rPr>
      <t>CERUTTI Costruzioni</t>
    </r>
    <r>
      <rPr>
        <sz val="8"/>
        <rFont val="Arial"/>
        <family val="2"/>
      </rPr>
      <t xml:space="preserve"> (Montecalvo V.)</t>
    </r>
  </si>
  <si>
    <t>10/1/18 iniz: 11/1/18</t>
  </si>
  <si>
    <t>106.1</t>
  </si>
  <si>
    <t>20.7.18 Atto di sottomissione per lavori supplementari</t>
  </si>
  <si>
    <t>ID 116</t>
  </si>
  <si>
    <t>10/7/17 GURI + sito; 14/7 oss</t>
  </si>
  <si>
    <r>
      <rPr>
        <b/>
        <sz val="8"/>
        <rFont val="Arial"/>
        <family val="2"/>
      </rPr>
      <t>DHD</t>
    </r>
    <r>
      <rPr>
        <sz val="8"/>
        <rFont val="Arial"/>
        <family val="2"/>
      </rPr>
      <t xml:space="preserve"> (Leinì TO) 55% ATI con </t>
    </r>
    <r>
      <rPr>
        <b/>
        <sz val="8"/>
        <rFont val="Arial"/>
        <family val="2"/>
      </rPr>
      <t>LC General Scavi</t>
    </r>
    <r>
      <rPr>
        <sz val="8"/>
        <rFont val="Arial"/>
        <family val="2"/>
      </rPr>
      <t xml:space="preserve"> (Cilavegna PV) 45%</t>
    </r>
  </si>
  <si>
    <t>gara 365; offerta 292</t>
  </si>
  <si>
    <t>18/9/18 iniz: 20/9/18</t>
  </si>
  <si>
    <t>107.1</t>
  </si>
  <si>
    <t>Atto sottomissione 23.7.19</t>
  </si>
  <si>
    <r>
      <t xml:space="preserve">Comune di </t>
    </r>
    <r>
      <rPr>
        <b/>
        <sz val="8"/>
        <rFont val="Arial"/>
        <family val="2"/>
      </rPr>
      <t>Miradolo Terme</t>
    </r>
    <r>
      <rPr>
        <sz val="8"/>
        <rFont val="Arial"/>
        <family val="2"/>
      </rPr>
      <t>. Interventi di potenziamento del depuratore esistente in Miradolo Terme capoluogo</t>
    </r>
  </si>
  <si>
    <t>P.N. 19/7/17 (n.34)</t>
  </si>
  <si>
    <t>10/11 iniz: 13/11/17</t>
  </si>
  <si>
    <t>ID 106</t>
  </si>
  <si>
    <t>P.N. 25/7/17 (n.3)</t>
  </si>
  <si>
    <r>
      <rPr>
        <b/>
        <sz val="8"/>
        <rFont val="Arial"/>
        <family val="2"/>
      </rPr>
      <t>Negretti Srl</t>
    </r>
    <r>
      <rPr>
        <sz val="8"/>
        <rFont val="Arial"/>
        <family val="2"/>
      </rPr>
      <t xml:space="preserve"> (Corteolona - PV)</t>
    </r>
  </si>
  <si>
    <t>12/3/18 iniz: 8/11/17</t>
  </si>
  <si>
    <r>
      <t xml:space="preserve">Comune di </t>
    </r>
    <r>
      <rPr>
        <b/>
        <sz val="8"/>
        <rFont val="Arial"/>
        <family val="2"/>
      </rPr>
      <t>Certosa</t>
    </r>
    <r>
      <rPr>
        <sz val="8"/>
        <rFont val="Arial"/>
        <family val="2"/>
      </rPr>
      <t xml:space="preserve"> di Pavia. Riqualificazione della rete fognaria Via degli Orefici e Via Principale della Frazione Torriano.</t>
    </r>
  </si>
  <si>
    <t>ID 12</t>
  </si>
  <si>
    <t>23/8/17 Albo Pretorio comune e PVA; siti web</t>
  </si>
  <si>
    <r>
      <rPr>
        <b/>
        <sz val="8"/>
        <rFont val="Arial"/>
        <family val="2"/>
      </rPr>
      <t>T.M.G. SCAVI S.R.L.</t>
    </r>
    <r>
      <rPr>
        <sz val="8"/>
        <rFont val="Arial"/>
        <family val="2"/>
      </rPr>
      <t xml:space="preserve"> (Berbenno di Valtellina - SO)</t>
    </r>
  </si>
  <si>
    <t>26/1 iniz: 29/1/18</t>
  </si>
  <si>
    <t>110'1</t>
  </si>
  <si>
    <t>Perizia suplettiva e lavorazioni aggiuntive del 11.12.18</t>
  </si>
  <si>
    <r>
      <t xml:space="preserve">Comune di </t>
    </r>
    <r>
      <rPr>
        <b/>
        <sz val="8"/>
        <rFont val="Arial"/>
        <family val="2"/>
      </rPr>
      <t>Cava Manara</t>
    </r>
    <r>
      <rPr>
        <sz val="8"/>
        <rFont val="Arial"/>
        <family val="2"/>
      </rPr>
      <t>. Realizzazione vasca di compenso in impianto di potabilizzazione esistente Via Massimo d'Antona</t>
    </r>
  </si>
  <si>
    <t>ID 132</t>
  </si>
  <si>
    <t>20/10/17 Albo Pretorio comune e PVA; siti web</t>
  </si>
  <si>
    <r>
      <rPr>
        <b/>
        <sz val="7"/>
        <rFont val="Arial"/>
        <family val="2"/>
      </rPr>
      <t>SCARLATTA UMBERTO S.A.S.</t>
    </r>
    <r>
      <rPr>
        <sz val="7"/>
        <rFont val="Arial"/>
        <family val="2"/>
      </rPr>
      <t xml:space="preserve"> 73,43% (Vigliano Biellese BI) ATI con </t>
    </r>
    <r>
      <rPr>
        <b/>
        <sz val="7"/>
        <rFont val="Arial"/>
        <family val="2"/>
      </rPr>
      <t xml:space="preserve">PREFABBRICATI PRE SAL S.R.L. 26,57% </t>
    </r>
    <r>
      <rPr>
        <sz val="7"/>
        <rFont val="Arial"/>
        <family val="2"/>
      </rPr>
      <t xml:space="preserve"> (Salmour CN)</t>
    </r>
  </si>
  <si>
    <t>2/3 iniz: 5/3/18</t>
  </si>
  <si>
    <t>111.1</t>
  </si>
  <si>
    <t>Atto sottomissione del 13.2.19</t>
  </si>
  <si>
    <t>ID 85</t>
  </si>
  <si>
    <t>24/11/17 Albo Pretorio comune e PVA; siti web</t>
  </si>
  <si>
    <r>
      <t>MA.MI. Srl</t>
    </r>
    <r>
      <rPr>
        <sz val="8"/>
        <rFont val="Arial"/>
        <family val="2"/>
      </rPr>
      <t xml:space="preserve"> (Lainate MI)</t>
    </r>
  </si>
  <si>
    <t>27/2 iniz: 28/2/18</t>
  </si>
  <si>
    <t>ID 112</t>
  </si>
  <si>
    <t>27/11/17 Albo Pretorio comune e PVA; siti web</t>
  </si>
  <si>
    <r>
      <t>Caffù Costruzioni Generali S.r.l.</t>
    </r>
    <r>
      <rPr>
        <sz val="8"/>
        <rFont val="Arial"/>
        <family val="2"/>
      </rPr>
      <t xml:space="preserve"> (Villanova d'Ardenghi PV)</t>
    </r>
  </si>
  <si>
    <t>113.1</t>
  </si>
  <si>
    <t>Atto di sottomissione del 01/08/19</t>
  </si>
  <si>
    <t>lom/pav</t>
  </si>
  <si>
    <r>
      <t xml:space="preserve">Manutenzione straordinaria torri pensili nei comuni di </t>
    </r>
    <r>
      <rPr>
        <b/>
        <sz val="8"/>
        <rFont val="Arial"/>
        <family val="2"/>
      </rPr>
      <t>Mortara e Torrevecchia Pia</t>
    </r>
  </si>
  <si>
    <t>238/11</t>
  </si>
  <si>
    <t>P.N. 21/2/18 (n.136)</t>
  </si>
  <si>
    <r>
      <t xml:space="preserve">SET BLOCK Srl </t>
    </r>
    <r>
      <rPr>
        <sz val="8"/>
        <rFont val="Arial"/>
        <family val="2"/>
      </rPr>
      <t>(Vigevano)</t>
    </r>
  </si>
  <si>
    <t>21/9 iniz: 24/9/18</t>
  </si>
  <si>
    <t>114'1</t>
  </si>
  <si>
    <t>Perizia di assestamento n. 2 - Atto di sottomissione del 11/10/18</t>
  </si>
  <si>
    <t>P.N. 1/3/18 (n.5)</t>
  </si>
  <si>
    <t>26/03/18 ore 12</t>
  </si>
  <si>
    <r>
      <t xml:space="preserve">LANDI DI CHIARUGI SRL </t>
    </r>
    <r>
      <rPr>
        <sz val="8"/>
        <rFont val="Arial"/>
        <family val="2"/>
      </rPr>
      <t>(Pisa)</t>
    </r>
  </si>
  <si>
    <t>21/11 iniz: 22/11/18</t>
  </si>
  <si>
    <t>Coll. Funzionale 31/7; verb lavori ultimati 16/10/20</t>
  </si>
  <si>
    <t>Comune di Vigevano. Abbattimento odori linea fanghi depuratore di Vigevano.</t>
  </si>
  <si>
    <t>238/8</t>
  </si>
  <si>
    <t>7/3/18 Albo Pretorio comune e PVA; siti web</t>
  </si>
  <si>
    <t>apert 17/4: 1 offerta</t>
  </si>
  <si>
    <t>gara chiusa senza esito</t>
  </si>
  <si>
    <t>prov</t>
  </si>
  <si>
    <t>238/4</t>
  </si>
  <si>
    <r>
      <rPr>
        <sz val="8"/>
        <rFont val="Arial"/>
        <family val="2"/>
      </rPr>
      <t>15/3/18</t>
    </r>
    <r>
      <rPr>
        <sz val="6"/>
        <rFont val="Arial"/>
        <family val="2"/>
      </rPr>
      <t xml:space="preserve"> Albo Pretorio comuni Portalbera, Broni, Barbianello, S.Genesio, Bornasco, Giussago, Cava M., Sommo, Gambolò, Garlasco, Dorno, Nicorvo, S.Angelo L., Candia, Torre B.e C., Pieve d.C., Torre d'I., Robbio e PVA; siti web</t>
    </r>
  </si>
  <si>
    <r>
      <t>CF Ambiente S.r.l.</t>
    </r>
    <r>
      <rPr>
        <sz val="8"/>
        <rFont val="Arial"/>
        <family val="2"/>
      </rPr>
      <t xml:space="preserve"> (Castiglione d'Otranto - LE)</t>
    </r>
  </si>
  <si>
    <t>31/7 iniz: 23/8/18</t>
  </si>
  <si>
    <t>117.1</t>
  </si>
  <si>
    <t>Atto aggiuntivo (a.106) - Atto di sottomissione del 17/04/19</t>
  </si>
  <si>
    <t>27/03/18 Albo Pretorio comuni Borgo S.Siro e Garlasco e PVA; siti web</t>
  </si>
  <si>
    <r>
      <t xml:space="preserve">Cantieri Moderni </t>
    </r>
    <r>
      <rPr>
        <sz val="8"/>
        <rFont val="Arial"/>
        <family val="2"/>
      </rPr>
      <t>(Pinerolo - TO)</t>
    </r>
  </si>
  <si>
    <t>16/7 iniz: 23/7/18</t>
  </si>
  <si>
    <t>Verb del 30/7: fine 26/06/19</t>
  </si>
  <si>
    <t>118.1</t>
  </si>
  <si>
    <t>Atto aggiuntivo per lavori supplementari del 12/11/18</t>
  </si>
  <si>
    <r>
      <t xml:space="preserve">Collegamento reti idriche di </t>
    </r>
    <r>
      <rPr>
        <b/>
        <sz val="8"/>
        <rFont val="Arial"/>
        <family val="2"/>
      </rPr>
      <t>Alagna</t>
    </r>
    <r>
      <rPr>
        <sz val="8"/>
        <rFont val="Arial"/>
        <family val="2"/>
      </rPr>
      <t xml:space="preserve"> Lomellina-Garlasco</t>
    </r>
  </si>
  <si>
    <t>27/03/18 Albo Pretorio comuni Alagna e Garlasco e PVA; siti web</t>
  </si>
  <si>
    <r>
      <t>Ediltecno</t>
    </r>
    <r>
      <rPr>
        <sz val="8"/>
        <rFont val="Arial"/>
        <family val="2"/>
      </rPr>
      <t xml:space="preserve"> (Voghera)</t>
    </r>
  </si>
  <si>
    <t>23/10 iniz: 6/11/18</t>
  </si>
  <si>
    <t>119.1</t>
  </si>
  <si>
    <t>Atto aggiuntivo per lavori supplementari del 18/02/19</t>
  </si>
  <si>
    <r>
      <t xml:space="preserve">Comune di </t>
    </r>
    <r>
      <rPr>
        <b/>
        <sz val="8"/>
        <rFont val="Arial"/>
        <family val="2"/>
      </rPr>
      <t>Mezzanino</t>
    </r>
    <r>
      <rPr>
        <sz val="8"/>
        <rFont val="Arial"/>
        <family val="2"/>
      </rPr>
      <t xml:space="preserve"> (PV) - Intervento di ripristino, risanamento e rinforzo strutturale di adeguamento sismico per il conseguimento dei livelli di sicurezza previsti dal D.M. 14-01-2008 (NTC2008) della torre piezometrica (serbatoio pensile).</t>
    </r>
  </si>
  <si>
    <t>230/1</t>
  </si>
  <si>
    <t>16/05/18 Albo Pretorio comune Mezzanino e PVA; siti web</t>
  </si>
  <si>
    <r>
      <t>Edilsystem</t>
    </r>
    <r>
      <rPr>
        <sz val="8"/>
        <rFont val="Arial"/>
        <family val="2"/>
      </rPr>
      <t xml:space="preserve">  (Ponte Felcino - PG)</t>
    </r>
  </si>
  <si>
    <t>120.1</t>
  </si>
  <si>
    <t>Atto sottomissione del 20.12.18</t>
  </si>
  <si>
    <r>
      <t xml:space="preserve">Comune di </t>
    </r>
    <r>
      <rPr>
        <b/>
        <sz val="8"/>
        <rFont val="Arial"/>
        <family val="2"/>
      </rPr>
      <t>Torre d’Arese</t>
    </r>
    <r>
      <rPr>
        <sz val="8"/>
        <rFont val="Arial"/>
        <family val="2"/>
      </rPr>
      <t>: realizzazione collegamento acquedottistico Marzano – Torre d’Arese.</t>
    </r>
  </si>
  <si>
    <t>ID 113</t>
  </si>
  <si>
    <t>23/05/18 Albo Pretorio comuni Marzano e Torre d’Arese e PVA; siti web</t>
  </si>
  <si>
    <r>
      <t>Ronzoni</t>
    </r>
    <r>
      <rPr>
        <sz val="8"/>
        <rFont val="Arial"/>
        <family val="2"/>
      </rPr>
      <t xml:space="preserve">  (Seveso - MB)</t>
    </r>
  </si>
  <si>
    <t>28/11 iniz: 3/12/18</t>
  </si>
  <si>
    <r>
      <t xml:space="preserve">Comune di Voghera. Demolizione ex serbatoio acquedotto di </t>
    </r>
    <r>
      <rPr>
        <b/>
        <sz val="8"/>
        <rFont val="Arial"/>
        <family val="2"/>
      </rPr>
      <t>Via Foscolo.</t>
    </r>
  </si>
  <si>
    <t>29/05/18 Albo Pretorio comune Voghera e PVA; siti web</t>
  </si>
  <si>
    <r>
      <t xml:space="preserve">B.R. Demolizioni Srl </t>
    </r>
    <r>
      <rPr>
        <sz val="8"/>
        <rFont val="Arial"/>
        <family val="2"/>
      </rPr>
      <t>(Bra - CN)</t>
    </r>
  </si>
  <si>
    <r>
      <t xml:space="preserve">Potenziamento sistemi approvvigionamento idrico e terebrazione nuovo pozzo in Comune di </t>
    </r>
    <r>
      <rPr>
        <b/>
        <sz val="8"/>
        <rFont val="Arial"/>
        <family val="2"/>
      </rPr>
      <t>Rivanazzano Terme</t>
    </r>
    <r>
      <rPr>
        <sz val="8"/>
        <rFont val="Arial"/>
        <family val="2"/>
      </rPr>
      <t>.</t>
    </r>
  </si>
  <si>
    <t>ID 214/1</t>
  </si>
  <si>
    <t>P.N. 4/6/18 (n.5)</t>
  </si>
  <si>
    <r>
      <t>Samminiatese Pozzi Srl</t>
    </r>
    <r>
      <rPr>
        <sz val="8"/>
        <rFont val="Arial"/>
        <family val="2"/>
      </rPr>
      <t xml:space="preserve"> (S. Miniato Basso - PI)</t>
    </r>
  </si>
  <si>
    <t>7/3 iniz: 11/3/19</t>
  </si>
  <si>
    <t>123.1</t>
  </si>
  <si>
    <t>Atto sottomissione 31.10.19</t>
  </si>
  <si>
    <r>
      <t xml:space="preserve">Comune di </t>
    </r>
    <r>
      <rPr>
        <b/>
        <sz val="8"/>
        <rFont val="Arial"/>
        <family val="2"/>
      </rPr>
      <t>Broni.</t>
    </r>
    <r>
      <rPr>
        <sz val="8"/>
        <rFont val="Arial"/>
        <family val="2"/>
      </rPr>
      <t xml:space="preserve"> Realizzazione fognatura zona strada Pavese e via Saglio.</t>
    </r>
  </si>
  <si>
    <t>ID 36</t>
  </si>
  <si>
    <t>11/6/18 GURI + sito; 25/6 oss</t>
  </si>
  <si>
    <r>
      <rPr>
        <b/>
        <sz val="8"/>
        <rFont val="Arial"/>
        <family val="2"/>
      </rPr>
      <t xml:space="preserve">Nuovo Centro Edile Srl </t>
    </r>
    <r>
      <rPr>
        <sz val="8"/>
        <rFont val="Arial"/>
        <family val="2"/>
      </rPr>
      <t>(Portico di Caserta - CE)</t>
    </r>
  </si>
  <si>
    <r>
      <t xml:space="preserve">Collegamento acquedotti </t>
    </r>
    <r>
      <rPr>
        <b/>
        <sz val="8"/>
        <rFont val="Arial"/>
        <family val="2"/>
      </rPr>
      <t>Silvano Pietra e Corana</t>
    </r>
    <r>
      <rPr>
        <sz val="8"/>
        <rFont val="Arial"/>
        <family val="2"/>
      </rPr>
      <t xml:space="preserve"> e potenziamento potabilizzatore Corana.</t>
    </r>
  </si>
  <si>
    <t>ID 211</t>
  </si>
  <si>
    <t>26/06/18 Albo Pretorio comuni Silvano Pietra e Corana e PVA; siti web</t>
  </si>
  <si>
    <r>
      <rPr>
        <b/>
        <sz val="8"/>
        <rFont val="Arial"/>
        <family val="2"/>
      </rPr>
      <t xml:space="preserve">3V SRL </t>
    </r>
    <r>
      <rPr>
        <sz val="8"/>
        <rFont val="Arial"/>
        <family val="2"/>
      </rPr>
      <t>(Cisano Bergamasco - BG)</t>
    </r>
  </si>
  <si>
    <t>125.1</t>
  </si>
  <si>
    <t>Atto sottomissione del 21.2.19</t>
  </si>
  <si>
    <r>
      <t xml:space="preserve">Comune di </t>
    </r>
    <r>
      <rPr>
        <b/>
        <sz val="8"/>
        <rFont val="Arial"/>
        <family val="2"/>
      </rPr>
      <t>Gambolò</t>
    </r>
    <r>
      <rPr>
        <sz val="8"/>
        <rFont val="Arial"/>
        <family val="2"/>
      </rPr>
      <t xml:space="preserve"> - Fraz. Remondò. Collettamento scarico non trattato e collettamento al depuratore di Casoni di Sant'Albino. (Prog.Def.: 330.000)</t>
    </r>
  </si>
  <si>
    <t>ID 57</t>
  </si>
  <si>
    <t>03/07/18 Albo Pretorio comune Gambolò e Mortara e PVA; siti web</t>
  </si>
  <si>
    <r>
      <rPr>
        <b/>
        <sz val="8"/>
        <rFont val="Arial"/>
        <family val="2"/>
      </rPr>
      <t xml:space="preserve">SANTORO srl </t>
    </r>
    <r>
      <rPr>
        <sz val="8"/>
        <rFont val="Arial"/>
        <family val="2"/>
      </rPr>
      <t>(Atella - PZ)</t>
    </r>
  </si>
  <si>
    <t>126.1</t>
  </si>
  <si>
    <t>Atto sottomissione del 10.7.19</t>
  </si>
  <si>
    <r>
      <t xml:space="preserve">Comune di </t>
    </r>
    <r>
      <rPr>
        <b/>
        <sz val="8"/>
        <rFont val="Arial"/>
        <family val="2"/>
      </rPr>
      <t>Pieve Porto Morone</t>
    </r>
    <r>
      <rPr>
        <sz val="8"/>
        <rFont val="Arial"/>
        <family val="2"/>
      </rPr>
      <t>. Potenziamento impianto di depurazione comunale.</t>
    </r>
  </si>
  <si>
    <t>ID 10</t>
  </si>
  <si>
    <t>30/7/18 GURI + sito; 31/7 Oss</t>
  </si>
  <si>
    <r>
      <rPr>
        <b/>
        <sz val="8"/>
        <rFont val="Arial"/>
        <family val="2"/>
      </rPr>
      <t>Eurocostruzioni T. e D. S.r.l.</t>
    </r>
    <r>
      <rPr>
        <sz val="8"/>
        <rFont val="Arial"/>
        <family val="2"/>
      </rPr>
      <t xml:space="preserve"> (Casoria - NA)</t>
    </r>
  </si>
  <si>
    <t>5/11 iniz: 7/11/18</t>
  </si>
  <si>
    <t>127.1</t>
  </si>
  <si>
    <t>Atto sottomissione del 23.8.19</t>
  </si>
  <si>
    <r>
      <t xml:space="preserve">Comune di </t>
    </r>
    <r>
      <rPr>
        <b/>
        <sz val="8"/>
        <rFont val="Arial"/>
        <family val="2"/>
      </rPr>
      <t>Villanterio.</t>
    </r>
    <r>
      <rPr>
        <sz val="8"/>
        <rFont val="Arial"/>
        <family val="2"/>
      </rPr>
      <t xml:space="preserve"> Collettamento scarichi non trattati all’interno del capoluogo.</t>
    </r>
  </si>
  <si>
    <t>ID 19</t>
  </si>
  <si>
    <t>04/09/18 Albo Pretorio comune Villanterio e PVA; siti web</t>
  </si>
  <si>
    <r>
      <rPr>
        <b/>
        <sz val="8"/>
        <rFont val="Arial"/>
        <family val="2"/>
      </rPr>
      <t>Stucchi &amp; C. S.r.l.</t>
    </r>
    <r>
      <rPr>
        <sz val="8"/>
        <rFont val="Arial"/>
        <family val="2"/>
      </rPr>
      <t xml:space="preserve"> (Bovisio Masciago -MB)</t>
    </r>
  </si>
  <si>
    <t>21/2 iniz: 25/2/19</t>
  </si>
  <si>
    <t>128.1</t>
  </si>
  <si>
    <t>Atto sottomissione del 16.12.19</t>
  </si>
  <si>
    <r>
      <t xml:space="preserve">Comune di </t>
    </r>
    <r>
      <rPr>
        <b/>
        <sz val="8"/>
        <rFont val="Arial"/>
        <family val="2"/>
      </rPr>
      <t>Pancarana.</t>
    </r>
    <r>
      <rPr>
        <sz val="8"/>
        <rFont val="Arial"/>
        <family val="2"/>
      </rPr>
      <t xml:space="preserve"> Demolizione serbatoio pensile</t>
    </r>
  </si>
  <si>
    <t>05/10/18 Albo Pretorio comune Pancarana e PVA; siti web</t>
  </si>
  <si>
    <r>
      <t>Despe S.p.A.</t>
    </r>
    <r>
      <rPr>
        <sz val="8"/>
        <rFont val="Arial"/>
        <family val="2"/>
      </rPr>
      <t xml:space="preserve"> (Torre De Roveri - BG)</t>
    </r>
  </si>
  <si>
    <t>17/6 iniz: 24/6/19</t>
  </si>
  <si>
    <t>28/8/19 (fine 27/7/19)</t>
  </si>
  <si>
    <t>129.1</t>
  </si>
  <si>
    <t>Atto sottomissione del 16.4.19</t>
  </si>
  <si>
    <r>
      <t xml:space="preserve">Affondamento nuovi pozzi idropotabili centrali di potabilizzazione "Aguzzafame" di Vigevano e "Cordara" di Dorno. 1’ Stralcio Terebrazione </t>
    </r>
    <r>
      <rPr>
        <b/>
        <sz val="8"/>
        <rFont val="Arial"/>
        <family val="2"/>
      </rPr>
      <t>pozzo Dorno Cordara.</t>
    </r>
  </si>
  <si>
    <t>P.N. 5/10/18 (n.5)</t>
  </si>
  <si>
    <t>130.1</t>
  </si>
  <si>
    <t>Atto sottomissione del 7.1.20</t>
  </si>
  <si>
    <r>
      <t>Fornitura di contatori intelligenti per acqua fredda (</t>
    </r>
    <r>
      <rPr>
        <b/>
        <sz val="8"/>
        <rFont val="Arial"/>
        <family val="2"/>
      </rPr>
      <t>SMART METER</t>
    </r>
    <r>
      <rPr>
        <sz val="8"/>
        <rFont val="Arial"/>
        <family val="2"/>
      </rPr>
      <t>) e attività accessorie.</t>
    </r>
  </si>
  <si>
    <t>239_01</t>
  </si>
  <si>
    <t>13/10/18 GUCE, 17/10 GURI, 16/10 sito; 29/11 Oss, 18-19/10 n.4quot; Rettifica: GUCE 17/11/18, GURI 19/11/18</t>
  </si>
  <si>
    <r>
      <rPr>
        <strike/>
        <sz val="8"/>
        <rFont val="Arial"/>
        <family val="2"/>
      </rPr>
      <t>20/11/2018</t>
    </r>
    <r>
      <rPr>
        <sz val="8"/>
        <rFont val="Arial"/>
        <family val="2"/>
      </rPr>
      <t>;</t>
    </r>
    <r>
      <rPr>
        <b/>
        <sz val="8"/>
        <rFont val="Arial"/>
        <family val="2"/>
      </rPr>
      <t xml:space="preserve"> 4/12/18</t>
    </r>
  </si>
  <si>
    <r>
      <rPr>
        <b/>
        <sz val="8"/>
        <rFont val="Arial"/>
        <family val="2"/>
      </rPr>
      <t>VEOLIA WATER TECHNOLOGIES ITALIA SPA</t>
    </r>
    <r>
      <rPr>
        <sz val="8"/>
        <rFont val="Arial"/>
        <family val="2"/>
      </rPr>
      <t xml:space="preserve"> (Milano) in </t>
    </r>
    <r>
      <rPr>
        <b/>
        <sz val="8"/>
        <rFont val="Arial"/>
        <family val="2"/>
      </rPr>
      <t>ATI</t>
    </r>
    <r>
      <rPr>
        <sz val="8"/>
        <rFont val="Arial"/>
        <family val="2"/>
      </rPr>
      <t xml:space="preserve"> con </t>
    </r>
    <r>
      <rPr>
        <b/>
        <sz val="8"/>
        <rFont val="Arial"/>
        <family val="2"/>
      </rPr>
      <t>GEST S.r.l.</t>
    </r>
    <r>
      <rPr>
        <sz val="8"/>
        <rFont val="Arial"/>
        <family val="2"/>
      </rPr>
      <t xml:space="preserve"> (San Giovanni La Punta CT) e</t>
    </r>
    <r>
      <rPr>
        <b/>
        <sz val="8"/>
        <rFont val="Arial"/>
        <family val="2"/>
      </rPr>
      <t xml:space="preserve"> VEOLIA ACQUA SERVIZI S.r.l. (</t>
    </r>
    <r>
      <rPr>
        <sz val="8"/>
        <rFont val="Arial"/>
        <family val="2"/>
      </rPr>
      <t>Roncoferraro MN)</t>
    </r>
  </si>
  <si>
    <r>
      <t xml:space="preserve">22/05/19 </t>
    </r>
    <r>
      <rPr>
        <sz val="8"/>
        <rFont val="Arial"/>
        <family val="2"/>
      </rPr>
      <t>cons. anticipata</t>
    </r>
  </si>
  <si>
    <t>131.1</t>
  </si>
  <si>
    <t>30.9.20 Atto sottomissione per lavori supplementari</t>
  </si>
  <si>
    <t>131.2</t>
  </si>
  <si>
    <t>20.07.22 compensazione prezzi DL 73.2021-L.106.2021</t>
  </si>
  <si>
    <t>131.3</t>
  </si>
  <si>
    <t>31.5.23 CRE x integraz</t>
  </si>
  <si>
    <r>
      <t xml:space="preserve">Comune di </t>
    </r>
    <r>
      <rPr>
        <b/>
        <sz val="8"/>
        <rFont val="Arial"/>
        <family val="2"/>
      </rPr>
      <t>Casorate</t>
    </r>
    <r>
      <rPr>
        <sz val="8"/>
        <rFont val="Arial"/>
        <family val="2"/>
      </rPr>
      <t xml:space="preserve"> Primo. Demolizione serbatoio pensile di Via C. Mira</t>
    </r>
  </si>
  <si>
    <t>17/10/18 Albo Pretorio comune Casorate P. e PVA; siti web</t>
  </si>
  <si>
    <r>
      <t>Nitrex Srl</t>
    </r>
    <r>
      <rPr>
        <sz val="8"/>
        <rFont val="Arial"/>
        <family val="2"/>
      </rPr>
      <t xml:space="preserve"> (Lonato del Garda - BS)</t>
    </r>
  </si>
  <si>
    <t>6/5 iniz: 7/5/19</t>
  </si>
  <si>
    <t>Atto sottomissione del 6.5.19</t>
  </si>
  <si>
    <t>Atto sottomissione del 20.9.19</t>
  </si>
  <si>
    <t>Atto sottomissione del 3.2.21</t>
  </si>
  <si>
    <r>
      <t>Comune di</t>
    </r>
    <r>
      <rPr>
        <b/>
        <sz val="8"/>
        <rFont val="Arial"/>
        <family val="2"/>
      </rPr>
      <t xml:space="preserve"> San Martino Siccomario</t>
    </r>
    <r>
      <rPr>
        <sz val="8"/>
        <rFont val="Arial"/>
        <family val="2"/>
      </rPr>
      <t>. Adeguamento e potenziamento dell'impianto di potabilizzazione di Via Dalla Chiesa.</t>
    </r>
  </si>
  <si>
    <t>311/1</t>
  </si>
  <si>
    <t>P.N. 16/10/18 (n.8)</t>
  </si>
  <si>
    <r>
      <t>Carpenteria Paloschi Srl</t>
    </r>
    <r>
      <rPr>
        <sz val="8"/>
        <rFont val="Arial"/>
        <family val="2"/>
      </rPr>
      <t xml:space="preserve"> (Calcio - BG)</t>
    </r>
  </si>
  <si>
    <t>133.1</t>
  </si>
  <si>
    <t>Atto sottomissione del 03/09/19</t>
  </si>
  <si>
    <r>
      <t xml:space="preserve">Costruzione di un nuovo impianto di </t>
    </r>
    <r>
      <rPr>
        <b/>
        <sz val="7"/>
        <rFont val="Arial"/>
        <family val="2"/>
      </rPr>
      <t>depurazione</t>
    </r>
    <r>
      <rPr>
        <sz val="7"/>
        <rFont val="Arial"/>
        <family val="2"/>
      </rPr>
      <t xml:space="preserve"> a servizio del nuovo schema depurativo comprendente gli Agglomerati AG01800404 (</t>
    </r>
    <r>
      <rPr>
        <b/>
        <sz val="7"/>
        <rFont val="Arial"/>
        <family val="2"/>
      </rPr>
      <t>Albuzzano</t>
    </r>
    <r>
      <rPr>
        <sz val="7"/>
        <rFont val="Arial"/>
        <family val="2"/>
      </rPr>
      <t>), AG01800401 (Albuzzano - Barona), AG01800403 (Albuzzano - Vigalfo), AG01806001 (Cura Carpignano), AG01806002 (Cura Carpignano - Calignano), NI01806004 (Cura Carpignano – Dossino), AG01808001 (Lardirago), AG01812901 (Roncaro) e AG01814101 (Sant'Alessio con Vialone)</t>
    </r>
  </si>
  <si>
    <t>ID320</t>
  </si>
  <si>
    <t>23/11/18 GURI + sito; 29/11 Oss; 24-25/11 n.2quot</t>
  </si>
  <si>
    <r>
      <t>Bioteam S.r.l.</t>
    </r>
    <r>
      <rPr>
        <sz val="8"/>
        <rFont val="Arial"/>
        <family val="2"/>
      </rPr>
      <t xml:space="preserve"> (San Zeno Naviglio BS)</t>
    </r>
  </si>
  <si>
    <t>134.1</t>
  </si>
  <si>
    <t>Atto di perizia per varianti - Atto di sottomissione e verb concordamento nuovi prezzi del 05.04.2021</t>
  </si>
  <si>
    <t>134.2</t>
  </si>
  <si>
    <t>Atto di perizia per varianti - Atto di sottomissione e verb concordamento nuovi prezzi del 27.07.2021</t>
  </si>
  <si>
    <t>134.3</t>
  </si>
  <si>
    <t>04.02.22 compensazione prezzi DL 73.2021-L.106.2021 (x lavori 1'sem.21)</t>
  </si>
  <si>
    <t>134.4</t>
  </si>
  <si>
    <t>04.07.22 compensazione prezzi DL 73.2021-L.106.2021 (x lavori 2'sem.21)</t>
  </si>
  <si>
    <r>
      <t xml:space="preserve">Comune di </t>
    </r>
    <r>
      <rPr>
        <b/>
        <sz val="8"/>
        <rFont val="Arial"/>
        <family val="2"/>
      </rPr>
      <t>Mede</t>
    </r>
    <r>
      <rPr>
        <sz val="8"/>
        <rFont val="Arial"/>
        <family val="2"/>
      </rPr>
      <t>. Ristrutturazione e potenziamento del sistema idropotabile del Comune di Mede.</t>
    </r>
  </si>
  <si>
    <t>14/12/18 GURI + sito; 14/12 Oss; 19/12 n.2quot</t>
  </si>
  <si>
    <r>
      <t>RE.CO.GE. Srl</t>
    </r>
    <r>
      <rPr>
        <sz val="8"/>
        <rFont val="Arial"/>
        <family val="2"/>
      </rPr>
      <t xml:space="preserve"> (Paternò - CT)</t>
    </r>
  </si>
  <si>
    <t>26/8/19  iniz: 27/8/19</t>
  </si>
  <si>
    <t>135.1</t>
  </si>
  <si>
    <t>5/5/21 Atto sottomissione</t>
  </si>
  <si>
    <t>135.2</t>
  </si>
  <si>
    <t>20.07.22 compensazione prezzi DL 73.2021</t>
  </si>
  <si>
    <r>
      <rPr>
        <b/>
        <sz val="8"/>
        <rFont val="Arial"/>
        <family val="2"/>
      </rPr>
      <t>ACC. QUADRO</t>
    </r>
    <r>
      <rPr>
        <sz val="8"/>
        <rFont val="Arial"/>
        <family val="2"/>
      </rPr>
      <t xml:space="preserve"> Interventi di </t>
    </r>
    <r>
      <rPr>
        <b/>
        <sz val="8"/>
        <rFont val="Arial"/>
        <family val="2"/>
      </rPr>
      <t>manutenzione</t>
    </r>
    <r>
      <rPr>
        <sz val="8"/>
        <rFont val="Arial"/>
        <family val="2"/>
      </rPr>
      <t xml:space="preserve"> su fabbricati e strutture adibiti al servizio idrico integrato nella Provincia di Pavia.</t>
    </r>
  </si>
  <si>
    <t>21/12/18 GURI + sito; 20/12 Oss; 23/12 n.2quot</t>
  </si>
  <si>
    <r>
      <t xml:space="preserve">R.Costruzioni </t>
    </r>
    <r>
      <rPr>
        <sz val="8"/>
        <rFont val="Arial"/>
        <family val="2"/>
      </rPr>
      <t>(Cava Manara - PV)</t>
    </r>
  </si>
  <si>
    <t>Comune di Gravellona Lomellina. Dismissione impianto di depurazione comunale e realizzazione collettamento a Cilavegna</t>
  </si>
  <si>
    <t>ID 145</t>
  </si>
  <si>
    <t>22/2/19 GURI + sito; 27/2 Oss; 27/2 n.2quot</t>
  </si>
  <si>
    <t>2/7 iniz: 3/7/19</t>
  </si>
  <si>
    <t>137.1</t>
  </si>
  <si>
    <t>Atto aggiuntivo sottomissione del 30/03/20</t>
  </si>
  <si>
    <t>Rifacimento con potenziamento della rete fognaria di acque miste in Via Isella nel Comune di Gambolò</t>
  </si>
  <si>
    <r>
      <t xml:space="preserve">ID ex240, </t>
    </r>
    <r>
      <rPr>
        <b/>
        <sz val="8"/>
        <rFont val="Arial"/>
        <family val="2"/>
      </rPr>
      <t>348</t>
    </r>
  </si>
  <si>
    <t>6/3/19 GURI + sito; 6/3 Oss; 8/3 n.2quot</t>
  </si>
  <si>
    <r>
      <rPr>
        <b/>
        <sz val="8"/>
        <rFont val="Arial"/>
        <family val="2"/>
      </rPr>
      <t>Giavazzi Srl</t>
    </r>
    <r>
      <rPr>
        <sz val="8"/>
        <rFont val="Arial"/>
        <family val="2"/>
      </rPr>
      <t xml:space="preserve"> </t>
    </r>
    <r>
      <rPr>
        <sz val="7"/>
        <rFont val="Arial"/>
        <family val="2"/>
      </rPr>
      <t xml:space="preserve">(Cornaredo) </t>
    </r>
  </si>
  <si>
    <t>30/07/19 (inizio effettivo: 25.11.19)</t>
  </si>
  <si>
    <t>ID 383</t>
  </si>
  <si>
    <t>11/3/19 GURI + sito; 11/3 Oss; 13 e 14/3 n.2quot</t>
  </si>
  <si>
    <t>21/12/20 funzionalità idraulica; fine 30/3/21</t>
  </si>
  <si>
    <t>139.1</t>
  </si>
  <si>
    <t>Atto aggiuntivo del 11.01.2021</t>
  </si>
  <si>
    <t>ID 208</t>
  </si>
  <si>
    <t>13/3/19 GURI + sito; 13/3 Oss; 15 e 16/3 n.2quot</t>
  </si>
  <si>
    <r>
      <rPr>
        <b/>
        <sz val="8"/>
        <rFont val="Arial"/>
        <family val="2"/>
      </rPr>
      <t>Airoldi Srl</t>
    </r>
    <r>
      <rPr>
        <sz val="8"/>
        <rFont val="Arial"/>
        <family val="2"/>
      </rPr>
      <t xml:space="preserve"> (Busto Arsizio - VA)</t>
    </r>
  </si>
  <si>
    <t>16/9 iniz: 17/9/19</t>
  </si>
  <si>
    <t>140.1</t>
  </si>
  <si>
    <t>9.3.22 Atto sottomissione</t>
  </si>
  <si>
    <t>Comune di Casorate Primo. Adeguamento rete fognaria di Via Motta Visconti e opere accessorie.</t>
  </si>
  <si>
    <r>
      <t xml:space="preserve">ex240 </t>
    </r>
    <r>
      <rPr>
        <b/>
        <sz val="8"/>
        <rFont val="Arial"/>
        <family val="2"/>
      </rPr>
      <t>302</t>
    </r>
  </si>
  <si>
    <t>11/04/19 Albo Pretorio comune Casorate e PVA; siti web</t>
  </si>
  <si>
    <r>
      <rPr>
        <b/>
        <sz val="8"/>
        <rFont val="Arial"/>
        <family val="2"/>
      </rPr>
      <t xml:space="preserve">Edil Valle S.r.l. </t>
    </r>
    <r>
      <rPr>
        <sz val="8"/>
        <rFont val="Arial"/>
        <family val="2"/>
      </rPr>
      <t>(Sora - FR)</t>
    </r>
  </si>
  <si>
    <t>141.1</t>
  </si>
  <si>
    <t>Atto aggiuntivo del 15/06/20</t>
  </si>
  <si>
    <t>ID 321</t>
  </si>
  <si>
    <t>19/4/19 GURI + sito; 19/4 Oss; 20/4 n.2quot</t>
  </si>
  <si>
    <r>
      <rPr>
        <b/>
        <sz val="8"/>
        <rFont val="Arial"/>
        <family val="2"/>
      </rPr>
      <t xml:space="preserve">CO.E.S.I. Srl </t>
    </r>
    <r>
      <rPr>
        <sz val="8"/>
        <rFont val="Arial"/>
        <family val="2"/>
      </rPr>
      <t>(Scaldasole PV)</t>
    </r>
    <r>
      <rPr>
        <b/>
        <sz val="8"/>
        <rFont val="Arial"/>
        <family val="2"/>
      </rPr>
      <t xml:space="preserve"> </t>
    </r>
    <r>
      <rPr>
        <sz val="8"/>
        <rFont val="Arial"/>
        <family val="2"/>
      </rPr>
      <t>(</t>
    </r>
    <r>
      <rPr>
        <b/>
        <sz val="8"/>
        <rFont val="Arial"/>
        <family val="2"/>
      </rPr>
      <t>cooptata 15%: CEMIR Srl</t>
    </r>
    <r>
      <rPr>
        <sz val="8"/>
        <rFont val="Arial"/>
        <family val="2"/>
      </rPr>
      <t xml:space="preserve"> - Reggiolo RE)</t>
    </r>
  </si>
  <si>
    <t xml:space="preserve">12.04.22 </t>
  </si>
  <si>
    <t>24.06.22 2'sem,2021</t>
  </si>
  <si>
    <t>27.07.22 atto sottomissione DL 17.5.22 n. 50 caro materiali 1'sem.22 a titolo di anticipazione (c'è poca capienza in neta, integriamo)</t>
  </si>
  <si>
    <t>3.11.22 atto sottomissione DL 17.5.22 n. 50 caro materiali 2'sem.22 a titolo di anticipazione (c'è poca capienza in neta, integriamo)</t>
  </si>
  <si>
    <t>15.5.23 atto sottomissione n.4 DL 17.5.22 n. 50 caro materiali 2022</t>
  </si>
  <si>
    <t>01.04.24 atto agg al CRE</t>
  </si>
  <si>
    <r>
      <t xml:space="preserve">Comune di </t>
    </r>
    <r>
      <rPr>
        <b/>
        <sz val="7"/>
        <rFont val="Arial"/>
        <family val="2"/>
      </rPr>
      <t>Vigevano</t>
    </r>
    <r>
      <rPr>
        <sz val="7"/>
        <rFont val="Arial"/>
        <family val="2"/>
      </rPr>
      <t xml:space="preserve"> - Opere di estensione reti fognarie di acque nere nelle vie Ivrea e </t>
    </r>
    <r>
      <rPr>
        <b/>
        <sz val="7"/>
        <rFont val="Arial"/>
        <family val="2"/>
      </rPr>
      <t>Morimondo</t>
    </r>
    <r>
      <rPr>
        <sz val="7"/>
        <rFont val="Arial"/>
        <family val="2"/>
      </rPr>
      <t>, potenziamento e rifacimento delle reti fognarie di acque miste nelle vie Alba, Aosta e Giusti, estensione e rifacimento con potenziamento delle corrispondenti reti acquedottistiche</t>
    </r>
  </si>
  <si>
    <t>ID 313</t>
  </si>
  <si>
    <t>24/4/19 GURI + sito; 24/4 Oss; 27/4 n.2quot</t>
  </si>
  <si>
    <r>
      <rPr>
        <b/>
        <sz val="8"/>
        <rFont val="Arial"/>
        <family val="2"/>
      </rPr>
      <t>PA.E.CO. S.r.l.</t>
    </r>
    <r>
      <rPr>
        <sz val="8"/>
        <rFont val="Arial"/>
        <family val="2"/>
      </rPr>
      <t xml:space="preserve"> (Garaguso MT)</t>
    </r>
  </si>
  <si>
    <t>09/10/19 10/10?</t>
  </si>
  <si>
    <t>31/1 iniz: 10/2/20</t>
  </si>
  <si>
    <t>143.1</t>
  </si>
  <si>
    <t>Atto sottomissione del 18.12.2020</t>
  </si>
  <si>
    <r>
      <t xml:space="preserve">Comune di </t>
    </r>
    <r>
      <rPr>
        <b/>
        <sz val="7"/>
        <rFont val="Arial"/>
        <family val="2"/>
      </rPr>
      <t>Vigevano</t>
    </r>
    <r>
      <rPr>
        <sz val="7"/>
        <rFont val="Arial"/>
        <family val="2"/>
      </rPr>
      <t xml:space="preserve"> - Realizzazione nuove reti fognarie di acque nere in strada Cascina di Sopra e in via Valletta </t>
    </r>
    <r>
      <rPr>
        <b/>
        <sz val="7"/>
        <rFont val="Arial"/>
        <family val="2"/>
      </rPr>
      <t>Fogliano</t>
    </r>
    <r>
      <rPr>
        <sz val="7"/>
        <rFont val="Arial"/>
        <family val="2"/>
      </rPr>
      <t xml:space="preserve"> e rifacimento rete fognaria di acque miste in Via Ivaldi.</t>
    </r>
  </si>
  <si>
    <t>15/5/19 GURI + sito; 17/5 Oss; 20/5 n.2quot</t>
  </si>
  <si>
    <t>10/6/20 iniz: 15/6</t>
  </si>
  <si>
    <t>144.1</t>
  </si>
  <si>
    <t>Perizia di variante e supletiva 03.12.20</t>
  </si>
  <si>
    <t>144.2</t>
  </si>
  <si>
    <t>Compensazione prezzi € 7.754,33 (compresa nella capienza di contratto)</t>
  </si>
  <si>
    <r>
      <t xml:space="preserve">Adeguamento dello schema depurativo e delle reti di fognatura degli Agglomerati AG01801101 (Bastida Pancarana), AG01802301 (Bressana Bottarone), AG01802302 (Bressana Bottarone - Bottarone), AG01803201 (Casatisma), AG01803802 (Castelletto di Branduzzo), AG01803801 (Castelletto di Branduzzo - Valle Botta), AG01810801 (Pancarana), AG01811501 (Pinarolo Po) e AG01812401 (Robecco Pavese)  - Intervento di potenziamento del </t>
    </r>
    <r>
      <rPr>
        <b/>
        <sz val="7"/>
        <rFont val="Arial"/>
        <family val="2"/>
      </rPr>
      <t>Depuratore di Bressana</t>
    </r>
    <r>
      <rPr>
        <sz val="7"/>
        <rFont val="Arial"/>
        <family val="2"/>
      </rPr>
      <t xml:space="preserve"> Bottarone.</t>
    </r>
  </si>
  <si>
    <t>ID 34</t>
  </si>
  <si>
    <t>24/5/19 GURI + sito; 24/5 Oss; 26/5 n.2quot</t>
  </si>
  <si>
    <r>
      <t>Tecnecos Srl</t>
    </r>
    <r>
      <rPr>
        <sz val="8"/>
        <rFont val="Arial"/>
        <family val="2"/>
      </rPr>
      <t xml:space="preserve"> (Pianiga - VE)</t>
    </r>
  </si>
  <si>
    <t>145.1</t>
  </si>
  <si>
    <t>7.6.22 Atto sottomissione e verb concord nuovi prezzi n.7</t>
  </si>
  <si>
    <r>
      <t xml:space="preserve">Adeguamento dello schema </t>
    </r>
    <r>
      <rPr>
        <b/>
        <sz val="8"/>
        <rFont val="Arial"/>
        <family val="2"/>
      </rPr>
      <t>depurativo</t>
    </r>
    <r>
      <rPr>
        <sz val="8"/>
        <rFont val="Arial"/>
        <family val="2"/>
      </rPr>
      <t xml:space="preserve"> e delle reti di fognatura degli Agglomerati AG01803401 (</t>
    </r>
    <r>
      <rPr>
        <b/>
        <sz val="8"/>
        <rFont val="Arial"/>
        <family val="2"/>
      </rPr>
      <t>Casorate</t>
    </r>
    <r>
      <rPr>
        <sz val="8"/>
        <rFont val="Arial"/>
        <family val="2"/>
      </rPr>
      <t xml:space="preserve"> Primo) e AG01816501 (Trovo).</t>
    </r>
  </si>
  <si>
    <t>ID 302</t>
  </si>
  <si>
    <t>27/5/19 GURI + sito; 28/5 Oss; 29/5 e 31/5  n.2quot</t>
  </si>
  <si>
    <r>
      <t>Bioteam S.r.l.</t>
    </r>
    <r>
      <rPr>
        <sz val="8"/>
        <rFont val="Arial"/>
        <family val="2"/>
      </rPr>
      <t xml:space="preserve"> (San Zeno Naviglio BS) 51% </t>
    </r>
    <r>
      <rPr>
        <b/>
        <sz val="8"/>
        <rFont val="Arial"/>
        <family val="2"/>
      </rPr>
      <t>in ATI con Mezzanzanica SPA</t>
    </r>
    <r>
      <rPr>
        <sz val="8"/>
        <rFont val="Arial"/>
        <family val="2"/>
      </rPr>
      <t xml:space="preserve"> (Parabiago -MI) 49%</t>
    </r>
  </si>
  <si>
    <t>15/10 iniz: 16/10/19</t>
  </si>
  <si>
    <t>146.1</t>
  </si>
  <si>
    <r>
      <t xml:space="preserve">3.8.21 Atto perizia varianti: atto sottomissione </t>
    </r>
    <r>
      <rPr>
        <b/>
        <sz val="8"/>
        <rFont val="Arial"/>
        <family val="2"/>
      </rPr>
      <t>175.155,18</t>
    </r>
  </si>
  <si>
    <t>146.2</t>
  </si>
  <si>
    <t>146.3</t>
  </si>
  <si>
    <t>1.07.22 compensazione prezzi DL 73.2021-L.106.2021 (x lavori 2'sem.21)</t>
  </si>
  <si>
    <t>146.4</t>
  </si>
  <si>
    <t>3.10.22 atto variante e conc nuovi prezzi</t>
  </si>
  <si>
    <t>146.5</t>
  </si>
  <si>
    <t>27.01.23 DL 50.2022 (x lavori 2022)</t>
  </si>
  <si>
    <r>
      <t xml:space="preserve">Comune di </t>
    </r>
    <r>
      <rPr>
        <b/>
        <sz val="8"/>
        <rFont val="Arial"/>
        <family val="2"/>
      </rPr>
      <t>Vigevano</t>
    </r>
    <r>
      <rPr>
        <sz val="8"/>
        <rFont val="Arial"/>
        <family val="2"/>
      </rPr>
      <t xml:space="preserve"> - Estensione e rifacimento delle reti fognarie nelle Vie Curtatone, Valeggio, Legnano, Magenta e </t>
    </r>
    <r>
      <rPr>
        <b/>
        <sz val="8"/>
        <rFont val="Arial"/>
        <family val="2"/>
      </rPr>
      <t>Aguzzafame</t>
    </r>
    <r>
      <rPr>
        <sz val="8"/>
        <rFont val="Arial"/>
        <family val="2"/>
      </rPr>
      <t xml:space="preserve"> - Rifacimento rete acqua nelle Vie Legnano e Magenta</t>
    </r>
  </si>
  <si>
    <r>
      <rPr>
        <strike/>
        <sz val="8"/>
        <rFont val="Arial"/>
        <family val="2"/>
      </rPr>
      <t>ID 313</t>
    </r>
    <r>
      <rPr>
        <sz val="8"/>
        <rFont val="Arial"/>
        <family val="2"/>
      </rPr>
      <t>;  ID 240</t>
    </r>
  </si>
  <si>
    <t>3/6/19 GURI + sito; 4/6 Oss; 5/6 n.2quot</t>
  </si>
  <si>
    <t>3/2 iniz: 3/2/20</t>
  </si>
  <si>
    <r>
      <t xml:space="preserve">Rifacimento delle reti fognarie di Via Sacchetti, Via Garberini, </t>
    </r>
    <r>
      <rPr>
        <b/>
        <sz val="8"/>
        <rFont val="Arial"/>
        <family val="2"/>
      </rPr>
      <t>Via Don Minzoni</t>
    </r>
    <r>
      <rPr>
        <sz val="8"/>
        <rFont val="Arial"/>
        <family val="2"/>
      </rPr>
      <t xml:space="preserve"> e Via Della Gioia in Comune di </t>
    </r>
    <r>
      <rPr>
        <b/>
        <sz val="8"/>
        <rFont val="Arial"/>
        <family val="2"/>
      </rPr>
      <t>Vigevano</t>
    </r>
  </si>
  <si>
    <t>7/6/19 GURI + sito; 7/6 Oss; 10/6 n.2quot</t>
  </si>
  <si>
    <r>
      <t xml:space="preserve">Franzoni e Bertoletti S.r.l. </t>
    </r>
    <r>
      <rPr>
        <sz val="8"/>
        <rFont val="Arial"/>
        <family val="2"/>
      </rPr>
      <t>(Marmirolo - MN)</t>
    </r>
  </si>
  <si>
    <t>5/11/20 iniz: 5/11/20</t>
  </si>
  <si>
    <r>
      <rPr>
        <b/>
        <sz val="8"/>
        <rFont val="Arial"/>
        <family val="2"/>
      </rPr>
      <t>FORNITURA</t>
    </r>
    <r>
      <rPr>
        <sz val="8"/>
        <rFont val="Arial"/>
        <family val="2"/>
      </rPr>
      <t xml:space="preserve"> DI DISPOSITIVI DI MISURA DIGITALI INTELLIGENTI PER ACQUA FREDDA (“SMART METER”) STATICI CON MODULO RADIO INTEGRATO E FORNITURE ACCESSORIE</t>
    </r>
  </si>
  <si>
    <t>239_02</t>
  </si>
  <si>
    <t>25/6/19 GUCE + 28/6/19 GURI + sito; 27/6 Oss; 1,2/7 n.4quot</t>
  </si>
  <si>
    <t>22,44% + 33%</t>
  </si>
  <si>
    <t>36 mesi</t>
  </si>
  <si>
    <t>22/2/23 atto sottomiss  x proroga temp al 31.3.25;
26/4/25 atto sottomiss  x proroga temp al 31.12.26</t>
  </si>
  <si>
    <r>
      <rPr>
        <b/>
        <sz val="8"/>
        <rFont val="Arial"/>
        <family val="2"/>
      </rPr>
      <t>Lavori</t>
    </r>
    <r>
      <rPr>
        <sz val="8"/>
        <rFont val="Arial"/>
        <family val="2"/>
      </rPr>
      <t xml:space="preserve"> di installazione di dispositivi di misura digitali per acqua fredda (“smart meter”) e prestazioni accessorie - area </t>
    </r>
    <r>
      <rPr>
        <b/>
        <sz val="8"/>
        <rFont val="Arial"/>
        <family val="2"/>
      </rPr>
      <t>pavese</t>
    </r>
  </si>
  <si>
    <t>239_03</t>
  </si>
  <si>
    <t>1/7/19 GURI + sito; 4/7 Oss; 5/7 n.2quot</t>
  </si>
  <si>
    <r>
      <t>Completa rinnovazione dell’impianto di</t>
    </r>
    <r>
      <rPr>
        <b/>
        <sz val="8"/>
        <rFont val="Arial"/>
        <family val="2"/>
      </rPr>
      <t xml:space="preserve"> produzione di energia</t>
    </r>
    <r>
      <rPr>
        <sz val="8"/>
        <rFont val="Arial"/>
        <family val="2"/>
      </rPr>
      <t xml:space="preserve"> elettrica da biogas presso l’impianto di depurazione di </t>
    </r>
    <r>
      <rPr>
        <b/>
        <sz val="8"/>
        <rFont val="Arial"/>
        <family val="2"/>
      </rPr>
      <t>Pavia</t>
    </r>
    <r>
      <rPr>
        <sz val="8"/>
        <rFont val="Arial"/>
        <family val="2"/>
      </rPr>
      <t>.</t>
    </r>
  </si>
  <si>
    <t>ID 240</t>
  </si>
  <si>
    <t>5/7/19 GUCE + 10/7/19 GURI + sito; 8/7 Oss; 9,11,12/7 n.4quot</t>
  </si>
  <si>
    <r>
      <t>IBT Connecting Energies GmbH</t>
    </r>
    <r>
      <rPr>
        <sz val="8"/>
        <rFont val="Arial"/>
        <family val="2"/>
      </rPr>
      <t xml:space="preserve"> (Villorba TV)</t>
    </r>
  </si>
  <si>
    <t>31/07/20 collaudo parziale</t>
  </si>
  <si>
    <r>
      <rPr>
        <b/>
        <sz val="8"/>
        <rFont val="Arial"/>
        <family val="2"/>
      </rPr>
      <t>Lavori</t>
    </r>
    <r>
      <rPr>
        <sz val="8"/>
        <rFont val="Arial"/>
        <family val="2"/>
      </rPr>
      <t xml:space="preserve"> di installazione di dispositivi di misura digitali per acqua fredda (“smart meter”) e prestazioni accessorie - area </t>
    </r>
    <r>
      <rPr>
        <b/>
        <sz val="8"/>
        <rFont val="Arial"/>
        <family val="2"/>
      </rPr>
      <t>oltrepo</t>
    </r>
  </si>
  <si>
    <t>239_04</t>
  </si>
  <si>
    <t>9/9/19 GURI + sito; 9/9 Oss; 13/9 n.2quot</t>
  </si>
  <si>
    <r>
      <rPr>
        <b/>
        <sz val="8"/>
        <rFont val="Arial"/>
        <family val="2"/>
      </rPr>
      <t>V. BARBAGLI</t>
    </r>
    <r>
      <rPr>
        <sz val="8"/>
        <rFont val="Arial"/>
        <family val="2"/>
      </rPr>
      <t xml:space="preserve">  (Firenze)</t>
    </r>
  </si>
  <si>
    <t>consegna anticipata 10/12/19</t>
  </si>
  <si>
    <r>
      <rPr>
        <b/>
        <sz val="8"/>
        <rFont val="Arial"/>
        <family val="2"/>
      </rPr>
      <t>Lavori</t>
    </r>
    <r>
      <rPr>
        <sz val="8"/>
        <rFont val="Arial"/>
        <family val="2"/>
      </rPr>
      <t xml:space="preserve"> di installazione di dispositivi di misura digitali per acqua fredda (“smart meter”) e prestazioni accessorie - area </t>
    </r>
    <r>
      <rPr>
        <b/>
        <sz val="8"/>
        <rFont val="Arial"/>
        <family val="2"/>
      </rPr>
      <t>lomellina</t>
    </r>
  </si>
  <si>
    <t>239_05</t>
  </si>
  <si>
    <t>25/9/19 GURI + sito; 25/9 Oss; 28/9 n.2quot</t>
  </si>
  <si>
    <r>
      <rPr>
        <b/>
        <sz val="8"/>
        <rFont val="Arial"/>
        <family val="2"/>
      </rPr>
      <t>CONSORZIO SERVIZI QUALIFICATI</t>
    </r>
    <r>
      <rPr>
        <sz val="8"/>
        <rFont val="Arial"/>
        <family val="2"/>
      </rPr>
      <t xml:space="preserve">  (Genova)</t>
    </r>
  </si>
  <si>
    <t>consegna anticipata 17/12/19</t>
  </si>
  <si>
    <r>
      <t xml:space="preserve">Fornitura, montaggio e messa in servizio di un </t>
    </r>
    <r>
      <rPr>
        <b/>
        <sz val="8"/>
        <rFont val="Arial"/>
        <family val="2"/>
      </rPr>
      <t>idroestrattore</t>
    </r>
    <r>
      <rPr>
        <sz val="8"/>
        <rFont val="Arial"/>
        <family val="2"/>
      </rPr>
      <t xml:space="preserve"> centrifugo per la disidratazione spinta dei fanghi biologici presso il depuratore di </t>
    </r>
    <r>
      <rPr>
        <b/>
        <sz val="8"/>
        <rFont val="Arial"/>
        <family val="2"/>
      </rPr>
      <t>Vigevano</t>
    </r>
    <r>
      <rPr>
        <sz val="8"/>
        <rFont val="Arial"/>
        <family val="2"/>
      </rPr>
      <t xml:space="preserve"> – ANNO 2019</t>
    </r>
  </si>
  <si>
    <t>10/5/19 GURI + sito + Oss</t>
  </si>
  <si>
    <r>
      <t>Huber Technology Srl</t>
    </r>
    <r>
      <rPr>
        <sz val="8"/>
        <rFont val="Arial"/>
        <family val="2"/>
      </rPr>
      <t xml:space="preserve"> (Pineta di Laives - BZ)</t>
    </r>
  </si>
  <si>
    <r>
      <t xml:space="preserve">FORNITURA, MONTAGGIO E MESSA IN SERVIZIO DI UNA </t>
    </r>
    <r>
      <rPr>
        <b/>
        <sz val="8"/>
        <rFont val="Arial"/>
        <family val="2"/>
      </rPr>
      <t>PRESSOCOCLEA</t>
    </r>
    <r>
      <rPr>
        <sz val="8"/>
        <rFont val="Arial"/>
        <family val="2"/>
      </rPr>
      <t xml:space="preserve"> PER LA DISIDRATAZIONE DEI FANGHI BIOLOGICI PRESSO IL DEPURATORE DI </t>
    </r>
    <r>
      <rPr>
        <b/>
        <sz val="8"/>
        <rFont val="Arial"/>
        <family val="2"/>
      </rPr>
      <t>CASTEGGIO</t>
    </r>
    <r>
      <rPr>
        <sz val="8"/>
        <rFont val="Arial"/>
        <family val="2"/>
      </rPr>
      <t xml:space="preserve"> (PV)</t>
    </r>
  </si>
  <si>
    <t>12/6/19 GURI + sito + Oss</t>
  </si>
  <si>
    <r>
      <rPr>
        <b/>
        <sz val="8"/>
        <rFont val="Arial"/>
        <family val="2"/>
      </rPr>
      <t xml:space="preserve">SOLTECH S.R.L. </t>
    </r>
    <r>
      <rPr>
        <sz val="8"/>
        <rFont val="Arial"/>
        <family val="2"/>
      </rPr>
      <t>(Milano)</t>
    </r>
  </si>
  <si>
    <t>12/11/20 collaudo parziale</t>
  </si>
  <si>
    <t>155.1</t>
  </si>
  <si>
    <t>Atto aggiuntivo del 26/10/20</t>
  </si>
  <si>
    <r>
      <t xml:space="preserve">Adeguamento strutturale e funzionale dell’impianto di </t>
    </r>
    <r>
      <rPr>
        <b/>
        <sz val="8"/>
        <rFont val="Arial"/>
        <family val="2"/>
      </rPr>
      <t>depurazione</t>
    </r>
    <r>
      <rPr>
        <sz val="8"/>
        <rFont val="Arial"/>
        <family val="2"/>
      </rPr>
      <t xml:space="preserve"> a servizio dell’agglomerato AG01817104 (</t>
    </r>
    <r>
      <rPr>
        <b/>
        <sz val="8"/>
        <rFont val="Arial"/>
        <family val="2"/>
      </rPr>
      <t>Varzi</t>
    </r>
    <r>
      <rPr>
        <sz val="8"/>
        <rFont val="Arial"/>
        <family val="2"/>
      </rPr>
      <t>)</t>
    </r>
  </si>
  <si>
    <t>ID 368</t>
  </si>
  <si>
    <t>22/7/19 GURI + sito; 25/7 Oss; 25/7 n.2quot</t>
  </si>
  <si>
    <r>
      <t>Bioteam S.r.l.</t>
    </r>
    <r>
      <rPr>
        <sz val="8"/>
        <rFont val="Arial"/>
        <family val="2"/>
      </rPr>
      <t xml:space="preserve"> (San Zeno Naviglio BS) </t>
    </r>
  </si>
  <si>
    <t>13/7 iniz: 14/7/20</t>
  </si>
  <si>
    <t>162.1</t>
  </si>
  <si>
    <t>10.6.22 atto sottomissione e conc nuovi prezzi n.4</t>
  </si>
  <si>
    <t>162.2</t>
  </si>
  <si>
    <t>10.6.22 atto sottomissione n. 3 DL 17.5.22 n. 50 art. 26 caro materiali ANTICIPAZ 10% dell'aumento prezzi</t>
  </si>
  <si>
    <t>162.3</t>
  </si>
  <si>
    <t>12.04.23 atto sottomissione n.5 DL 17.5.22 n. 50 art. 26 caro materiali</t>
  </si>
  <si>
    <t>ID 88</t>
  </si>
  <si>
    <t>29/7/19 GURI + sito; 30/7 Oss; 1/8 n.2quot</t>
  </si>
  <si>
    <r>
      <t>Stucchi &amp; C. S.r.l.</t>
    </r>
    <r>
      <rPr>
        <sz val="8"/>
        <rFont val="Arial"/>
        <family val="2"/>
      </rPr>
      <t xml:space="preserve"> (Bovisio Masciago -MB)</t>
    </r>
  </si>
  <si>
    <t>21/1 iniz: 27/1/20</t>
  </si>
  <si>
    <t>02.11.22 Atto aggiuntivo DL 50.2022 (90% lavori nel 2022)</t>
  </si>
  <si>
    <r>
      <t>Comune di</t>
    </r>
    <r>
      <rPr>
        <b/>
        <sz val="8"/>
        <rFont val="Arial"/>
        <family val="2"/>
      </rPr>
      <t xml:space="preserve"> Cassolnovo</t>
    </r>
    <r>
      <rPr>
        <sz val="8"/>
        <rFont val="Arial"/>
        <family val="2"/>
      </rPr>
      <t>. Estensione rete fognaria in Via Del Porto e collettamento Fraz. Villareale</t>
    </r>
  </si>
  <si>
    <t>10/09/19 Albo Pretorio comune Cassolnovo e PVA; siti web</t>
  </si>
  <si>
    <r>
      <t>ICES SRL</t>
    </r>
    <r>
      <rPr>
        <sz val="8"/>
        <rFont val="Arial"/>
        <family val="2"/>
      </rPr>
      <t xml:space="preserve"> (Arena Po)</t>
    </r>
  </si>
  <si>
    <t>164.1</t>
  </si>
  <si>
    <t>Atto aggiuntivo del 31.12.20</t>
  </si>
  <si>
    <r>
      <t>Adeguamento dello schema depurativo e delle reti di fognatura degli Agglomerati AG01801101 (Bastida Pancarana), AG01802301 (</t>
    </r>
    <r>
      <rPr>
        <b/>
        <sz val="8"/>
        <rFont val="Arial"/>
        <family val="2"/>
      </rPr>
      <t>Bressana Bottarone</t>
    </r>
    <r>
      <rPr>
        <sz val="8"/>
        <rFont val="Arial"/>
        <family val="2"/>
      </rPr>
      <t>), AG01802302 (Bressana Bottarone - Bottarone), AG01803201 (Casatisma), AG01803802 (Castelletto di Branduzzo), AG01803801 (Castelletto di Branduzzo - Valle Botta), AG01810801 (Pancarana), AG01811501 (Pinarolo Po) e AG01812401 (Robecco Pavese).</t>
    </r>
  </si>
  <si>
    <t>16/9/19 GURI + sito; 16/9 Oss; 17-18/9  n.2quot</t>
  </si>
  <si>
    <r>
      <rPr>
        <b/>
        <sz val="8"/>
        <rFont val="Arial"/>
        <family val="2"/>
      </rPr>
      <t>SINERGIE S.R.L.</t>
    </r>
    <r>
      <rPr>
        <sz val="8"/>
        <rFont val="Arial"/>
        <family val="2"/>
      </rPr>
      <t xml:space="preserve"> Pedrengo (BG)</t>
    </r>
  </si>
  <si>
    <t>consegna anticipata 6/12/19</t>
  </si>
  <si>
    <t>17/12 iniz: 18/12/19</t>
  </si>
  <si>
    <t>165.1</t>
  </si>
  <si>
    <t>23.3.23 Compensazione prezzi L.106.2021 1'SEM. 2021</t>
  </si>
  <si>
    <t>165.2</t>
  </si>
  <si>
    <t>24.3.23 Compensazione prezzi L.106.2021 2'SEM. 2021</t>
  </si>
  <si>
    <t>165.3</t>
  </si>
  <si>
    <t>11.5.23 atto sottomissione  N.4</t>
  </si>
  <si>
    <t>165.4</t>
  </si>
  <si>
    <t>12.5.23  atto sottomissione N.5 DL 17.5.22 n. 50 art. 26 caro materiali corrisponde al 90% dell'aumento prezzi (PREZZIARIO LOMBARDIA) su LAVORI 2022</t>
  </si>
  <si>
    <r>
      <t xml:space="preserve">Interconnessione e rinnovamento reti acquedottistiche di Gerenzago e </t>
    </r>
    <r>
      <rPr>
        <b/>
        <sz val="8"/>
        <rFont val="Arial"/>
        <family val="2"/>
      </rPr>
      <t>Inverno</t>
    </r>
    <r>
      <rPr>
        <sz val="8"/>
        <rFont val="Arial"/>
        <family val="2"/>
      </rPr>
      <t xml:space="preserve"> e Monteleone. Interventi di rinnovazione rete acquedottistica e fognaria in pressione in località </t>
    </r>
    <r>
      <rPr>
        <b/>
        <sz val="8"/>
        <rFont val="Arial"/>
        <family val="2"/>
      </rPr>
      <t>Inverno</t>
    </r>
    <r>
      <rPr>
        <sz val="8"/>
        <rFont val="Arial"/>
        <family val="2"/>
      </rPr>
      <t xml:space="preserve"> e connessione con Monteleone.</t>
    </r>
  </si>
  <si>
    <t>20/09/19 Albo Pretorio comune Inverno e PVA; siti web</t>
  </si>
  <si>
    <t>21/10/19 ore 12,00</t>
  </si>
  <si>
    <r>
      <rPr>
        <b/>
        <sz val="8"/>
        <rFont val="Arial"/>
        <family val="2"/>
      </rPr>
      <t>Impresa Caffù Costruzioni Generali Srl</t>
    </r>
    <r>
      <rPr>
        <sz val="8"/>
        <rFont val="Arial"/>
        <family val="2"/>
      </rPr>
      <t xml:space="preserve"> (Villanova D’Ardenghi PV)</t>
    </r>
  </si>
  <si>
    <t>consegna anticipata 26/11/19</t>
  </si>
  <si>
    <t>166.1</t>
  </si>
  <si>
    <t>166.2</t>
  </si>
  <si>
    <r>
      <t xml:space="preserve">Comune di </t>
    </r>
    <r>
      <rPr>
        <b/>
        <sz val="8"/>
        <rFont val="Arial"/>
        <family val="2"/>
      </rPr>
      <t>Gambolò</t>
    </r>
    <r>
      <rPr>
        <sz val="8"/>
        <rFont val="Arial"/>
        <family val="2"/>
      </rPr>
      <t xml:space="preserve">. Rifacimento e potenziamento reti acquedottistiche in Corso Umberto Primo e </t>
    </r>
    <r>
      <rPr>
        <b/>
        <sz val="8"/>
        <rFont val="Arial"/>
        <family val="2"/>
      </rPr>
      <t>Via Fiume</t>
    </r>
    <r>
      <rPr>
        <sz val="8"/>
        <rFont val="Arial"/>
        <family val="2"/>
      </rPr>
      <t>. Rifacimento e potenziamento rete fognaria di acque miste in Corso Umberto Primo nel tratto compreso tra il civico 176 e via Petrarca</t>
    </r>
  </si>
  <si>
    <t>23/9/19 GURI + sito; 23/9 Oss; 25/9  n.2quot</t>
  </si>
  <si>
    <r>
      <rPr>
        <b/>
        <sz val="8"/>
        <rFont val="Arial"/>
        <family val="2"/>
      </rPr>
      <t>Suardi SpA</t>
    </r>
    <r>
      <rPr>
        <sz val="8"/>
        <rFont val="Arial"/>
        <family val="2"/>
      </rPr>
      <t xml:space="preserve"> (Predore - BG) 51% </t>
    </r>
    <r>
      <rPr>
        <b/>
        <sz val="8"/>
        <rFont val="Arial"/>
        <family val="2"/>
      </rPr>
      <t>ATI con SANGALLI SPA</t>
    </r>
    <r>
      <rPr>
        <sz val="8"/>
        <rFont val="Arial"/>
        <family val="2"/>
      </rPr>
      <t xml:space="preserve"> (Mapello -BG) 49%</t>
    </r>
  </si>
  <si>
    <t>consegna anticipata 12/12/19</t>
  </si>
  <si>
    <t>167.1</t>
  </si>
  <si>
    <t>Atto aggiuntivo del 5.5.21</t>
  </si>
  <si>
    <t>167.2</t>
  </si>
  <si>
    <t>7.12.21 Suardi: Compensazione prezzi L.106.2021 € 2.081,98 (capienza residua di contratto 426,32; integrazione 1.655,66)</t>
  </si>
  <si>
    <r>
      <t>Adeguamento dello schema depurativo e delle reti di fognatura degli agglomerati AG01802401 (Broni), AG01814001 (</t>
    </r>
    <r>
      <rPr>
        <b/>
        <sz val="8"/>
        <rFont val="Arial"/>
        <family val="2"/>
      </rPr>
      <t>Santa Giuletta – Monteceresino</t>
    </r>
    <r>
      <rPr>
        <sz val="8"/>
        <rFont val="Arial"/>
        <family val="2"/>
      </rPr>
      <t>), AG01814003 (Santa Giuletta), AG01809201 (Mezzanino).</t>
    </r>
  </si>
  <si>
    <r>
      <t>SANGALLI SPA</t>
    </r>
    <r>
      <rPr>
        <sz val="8"/>
        <rFont val="Arial"/>
        <family val="2"/>
      </rPr>
      <t xml:space="preserve"> (Mapello -BG) 51%  ATI con </t>
    </r>
    <r>
      <rPr>
        <b/>
        <sz val="8"/>
        <rFont val="Arial"/>
        <family val="2"/>
      </rPr>
      <t>SUARDI SpA</t>
    </r>
    <r>
      <rPr>
        <sz val="8"/>
        <rFont val="Arial"/>
        <family val="2"/>
      </rPr>
      <t xml:space="preserve"> (Predore - BG) 49%</t>
    </r>
  </si>
  <si>
    <t>consegna anticipata 28/11/19; 30.1.20</t>
  </si>
  <si>
    <t>28.1.22 Atto sottomissione e verb concord nuovi prezzi n.6</t>
  </si>
  <si>
    <r>
      <t>Realizzazione di un nuovo schema depurativo, con contestuali interventi di adeguamento delle reti di fognatura ed eliminazione di terminali non trattati, a servizio degli Agglomerati AG01801901 (</t>
    </r>
    <r>
      <rPr>
        <b/>
        <sz val="8"/>
        <rFont val="Arial"/>
        <family val="2"/>
      </rPr>
      <t>Bornasco</t>
    </r>
    <r>
      <rPr>
        <sz val="8"/>
        <rFont val="Arial"/>
        <family val="2"/>
      </rPr>
      <t xml:space="preserve"> - Gualdrasco), AG01801902 (Bornasco), AG01801903 (Bornasco - Misano Olona), AG01804301 (Ceranova), AG01817601 (Vidigulfo - Cavagnera), AG01817602 (</t>
    </r>
    <r>
      <rPr>
        <b/>
        <sz val="8"/>
        <rFont val="Arial"/>
        <family val="2"/>
      </rPr>
      <t>Vidigulfo</t>
    </r>
    <r>
      <rPr>
        <sz val="8"/>
        <rFont val="Arial"/>
        <family val="2"/>
      </rPr>
      <t>) e AG01817604 (Vidigulfo - Vairano).</t>
    </r>
  </si>
  <si>
    <t>ID 323</t>
  </si>
  <si>
    <t>27/9/19 GURI + sito; 27/9 Oss; 2-3/10 n.2quot</t>
  </si>
  <si>
    <t>28/10/2019 h12</t>
  </si>
  <si>
    <t>consegna anticipata 28/11/19</t>
  </si>
  <si>
    <t>169.1</t>
  </si>
  <si>
    <t>23.9.21 Atto sottomissione</t>
  </si>
  <si>
    <t>169.2</t>
  </si>
  <si>
    <t>23.12.21 Suardi: Compensazione prezzi L.106.2021</t>
  </si>
  <si>
    <t>169.3</t>
  </si>
  <si>
    <t>17.5.22 Atto aggiuntivo e concordamento nuovi prezzi</t>
  </si>
  <si>
    <r>
      <t xml:space="preserve">Servizio di mappatura digitale e </t>
    </r>
    <r>
      <rPr>
        <b/>
        <sz val="8"/>
        <rFont val="Arial"/>
        <family val="2"/>
      </rPr>
      <t>rilevamento</t>
    </r>
    <r>
      <rPr>
        <sz val="8"/>
        <rFont val="Arial"/>
        <family val="2"/>
      </rPr>
      <t xml:space="preserve"> delle infrastrutture di rete acquedotto e fognatura di Pavia Acque S.c.a r.l., suddiviso in </t>
    </r>
    <r>
      <rPr>
        <b/>
        <sz val="8"/>
        <rFont val="Arial"/>
        <family val="2"/>
      </rPr>
      <t>5 lotti</t>
    </r>
  </si>
  <si>
    <t>ID 377 e 378</t>
  </si>
  <si>
    <t>23/9/19 GUCE, 27/9 GURI, 27/9 sito; 27/9 Oss, 1/10 n.4quot</t>
  </si>
  <si>
    <r>
      <rPr>
        <b/>
        <sz val="8"/>
        <rFont val="Arial"/>
        <family val="2"/>
      </rPr>
      <t xml:space="preserve">Datek22 Srl </t>
    </r>
    <r>
      <rPr>
        <sz val="8"/>
        <rFont val="Arial"/>
        <family val="2"/>
      </rPr>
      <t>(Como) in ATI con</t>
    </r>
    <r>
      <rPr>
        <b/>
        <sz val="8"/>
        <rFont val="Arial"/>
        <family val="2"/>
      </rPr>
      <t xml:space="preserve"> IDRAGEST SRL</t>
    </r>
    <r>
      <rPr>
        <sz val="8"/>
        <rFont val="Arial"/>
        <family val="2"/>
      </rPr>
      <t xml:space="preserve">, </t>
    </r>
    <r>
      <rPr>
        <b/>
        <sz val="8"/>
        <rFont val="Arial"/>
        <family val="2"/>
      </rPr>
      <t>PUGLIA ENGINEERING SRL UNIP.</t>
    </r>
    <r>
      <rPr>
        <sz val="8"/>
        <rFont val="Arial"/>
        <family val="2"/>
      </rPr>
      <t xml:space="preserve"> e </t>
    </r>
    <r>
      <rPr>
        <b/>
        <sz val="8"/>
        <rFont val="Arial"/>
        <family val="2"/>
      </rPr>
      <t>J+S SRL</t>
    </r>
  </si>
  <si>
    <t>20/28mesi</t>
  </si>
  <si>
    <t>consegna anticipata 4/12/19</t>
  </si>
  <si>
    <t>170.1</t>
  </si>
  <si>
    <t>27.05.2024 atto aggiuntivo</t>
  </si>
  <si>
    <t>oltre</t>
  </si>
  <si>
    <r>
      <t>Interventi di adeguamento dei sistemi fognari degli agglomerati di</t>
    </r>
    <r>
      <rPr>
        <b/>
        <sz val="8"/>
        <rFont val="Arial"/>
        <family val="2"/>
      </rPr>
      <t xml:space="preserve"> Bressana Bottaron</t>
    </r>
    <r>
      <rPr>
        <sz val="8"/>
        <rFont val="Arial"/>
        <family val="2"/>
      </rPr>
      <t>e, Lungavilla, Stradella e Arena Po.</t>
    </r>
  </si>
  <si>
    <r>
      <t>316/240</t>
    </r>
    <r>
      <rPr>
        <strike/>
        <sz val="8"/>
        <rFont val="Arial"/>
        <family val="2"/>
      </rPr>
      <t xml:space="preserve"> 335_ 351___</t>
    </r>
  </si>
  <si>
    <t>01/10/19 Albo Pretorio comuni Bressana, Lungavilla, Stradella, Rovescala e S.Damiano al c. e PVA; siti web</t>
  </si>
  <si>
    <r>
      <rPr>
        <b/>
        <sz val="8"/>
        <rFont val="Arial"/>
        <family val="2"/>
      </rPr>
      <t xml:space="preserve">Oggionni Lavori Stradali Cambiago 2000 Srl </t>
    </r>
    <r>
      <rPr>
        <sz val="8"/>
        <rFont val="Arial"/>
        <family val="2"/>
      </rPr>
      <t>(Cambiago MI)</t>
    </r>
  </si>
  <si>
    <t>consegna anticipata 5/12/19; 25/5/20</t>
  </si>
  <si>
    <t>19/12 iniz: 20/12/19</t>
  </si>
  <si>
    <r>
      <t xml:space="preserve">Comune di </t>
    </r>
    <r>
      <rPr>
        <b/>
        <sz val="8"/>
        <rFont val="Arial"/>
        <family val="2"/>
      </rPr>
      <t>Pavia</t>
    </r>
    <r>
      <rPr>
        <sz val="8"/>
        <rFont val="Arial"/>
        <family val="2"/>
      </rPr>
      <t xml:space="preserve">. Potenziamento e rinnovazione della rete acquedottistica del centro storico. </t>
    </r>
    <r>
      <rPr>
        <b/>
        <sz val="8"/>
        <rFont val="Arial"/>
        <family val="2"/>
      </rPr>
      <t>Via Rezia</t>
    </r>
    <r>
      <rPr>
        <sz val="8"/>
        <rFont val="Arial"/>
        <family val="2"/>
      </rPr>
      <t>, Via dei Liguri e Via Cossa.</t>
    </r>
  </si>
  <si>
    <t>ID 110</t>
  </si>
  <si>
    <t>01/10/19 Albo Pretorio comune Pavia e PVA; siti web</t>
  </si>
  <si>
    <r>
      <rPr>
        <b/>
        <sz val="8"/>
        <rFont val="Arial"/>
        <family val="2"/>
      </rPr>
      <t xml:space="preserve">Bonacina Srl </t>
    </r>
    <r>
      <rPr>
        <sz val="8"/>
        <rFont val="Arial"/>
        <family val="2"/>
      </rPr>
      <t>(Galbiate LC)</t>
    </r>
  </si>
  <si>
    <t>consegna anticipata 6/12/19; completa 02/11/20</t>
  </si>
  <si>
    <t>23/7 iniz: 27/7/20</t>
  </si>
  <si>
    <t>172.1</t>
  </si>
  <si>
    <t>06.04.2023 Atto di sottomissione n. 3 D.L. 50/2022 (x compensazione prezzi)</t>
  </si>
  <si>
    <r>
      <t>Comune di</t>
    </r>
    <r>
      <rPr>
        <b/>
        <sz val="8"/>
        <rFont val="Arial"/>
        <family val="2"/>
      </rPr>
      <t xml:space="preserve"> Pavia</t>
    </r>
    <r>
      <rPr>
        <sz val="8"/>
        <rFont val="Arial"/>
        <family val="2"/>
      </rPr>
      <t xml:space="preserve">. Potenziamento e rinnovazione della rete acquedottistica del centro storico. </t>
    </r>
    <r>
      <rPr>
        <b/>
        <sz val="8"/>
        <rFont val="Arial"/>
        <family val="2"/>
      </rPr>
      <t>Via Maffi</t>
    </r>
    <r>
      <rPr>
        <sz val="8"/>
        <rFont val="Arial"/>
        <family val="2"/>
      </rPr>
      <t>, Piazza San Teodoro e Via Terenzio.</t>
    </r>
  </si>
  <si>
    <t>ID 109</t>
  </si>
  <si>
    <t>02/10/19 Albo Pretorio comune Pavia e PVA; siti web</t>
  </si>
  <si>
    <r>
      <rPr>
        <b/>
        <sz val="8"/>
        <rFont val="Arial"/>
        <family val="2"/>
      </rPr>
      <t xml:space="preserve">Impresa Riva Srl </t>
    </r>
    <r>
      <rPr>
        <sz val="8"/>
        <rFont val="Arial"/>
        <family val="2"/>
      </rPr>
      <t>(Osio Sopra BG)</t>
    </r>
  </si>
  <si>
    <t>173.1</t>
  </si>
  <si>
    <r>
      <t>Adeguamento del sistema fognario a servizio dell'agglomerato AG01815101 (</t>
    </r>
    <r>
      <rPr>
        <b/>
        <sz val="8"/>
        <rFont val="Arial"/>
        <family val="2"/>
      </rPr>
      <t>SOMMO</t>
    </r>
    <r>
      <rPr>
        <sz val="8"/>
        <rFont val="Arial"/>
        <family val="2"/>
      </rPr>
      <t>)</t>
    </r>
  </si>
  <si>
    <t>P.N. 8/10/19 (n.30)</t>
  </si>
  <si>
    <r>
      <rPr>
        <b/>
        <sz val="8"/>
        <rFont val="Arial"/>
        <family val="2"/>
      </rPr>
      <t>Eurostrade Srl</t>
    </r>
    <r>
      <rPr>
        <sz val="8"/>
        <rFont val="Arial"/>
        <family val="2"/>
      </rPr>
      <t xml:space="preserve"> (Pavia)</t>
    </r>
  </si>
  <si>
    <t>24/1 iniz: 27/1/20</t>
  </si>
  <si>
    <r>
      <t xml:space="preserve">Adeguamento del sistema fognario del Comune di </t>
    </r>
    <r>
      <rPr>
        <b/>
        <sz val="8"/>
        <rFont val="Arial"/>
        <family val="2"/>
      </rPr>
      <t>ALAGNA</t>
    </r>
    <r>
      <rPr>
        <sz val="8"/>
        <rFont val="Arial"/>
        <family val="2"/>
      </rPr>
      <t xml:space="preserve"> - Realizzazione di nuovo sollevamento fognario in Via Pollini/Dante e opere accessorie</t>
    </r>
  </si>
  <si>
    <t>P.N. 11/10/19 (n.29)</t>
  </si>
  <si>
    <r>
      <t>LC General Scavi Srl</t>
    </r>
    <r>
      <rPr>
        <sz val="8"/>
        <rFont val="Arial"/>
        <family val="2"/>
      </rPr>
      <t xml:space="preserve"> (Cilavegna PV)</t>
    </r>
  </si>
  <si>
    <t>175.1</t>
  </si>
  <si>
    <t>Atto aggiuntivo - 14.12.20</t>
  </si>
  <si>
    <r>
      <t xml:space="preserve">Comune di </t>
    </r>
    <r>
      <rPr>
        <b/>
        <sz val="8"/>
        <rFont val="Arial"/>
        <family val="2"/>
      </rPr>
      <t>Vidigulfo</t>
    </r>
    <r>
      <rPr>
        <sz val="8"/>
        <rFont val="Arial"/>
        <family val="2"/>
      </rPr>
      <t xml:space="preserve">. Ristrutturazione e potenziamento del sistema acquedottistico comunale – REALIZZAZIONE NUOVA </t>
    </r>
    <r>
      <rPr>
        <b/>
        <sz val="8"/>
        <rFont val="Arial"/>
        <family val="2"/>
      </rPr>
      <t>CENTRALE</t>
    </r>
    <r>
      <rPr>
        <sz val="8"/>
        <rFont val="Arial"/>
        <family val="2"/>
      </rPr>
      <t xml:space="preserve"> DI POTABILIZZAZIONE DI VIA MILANO</t>
    </r>
  </si>
  <si>
    <t>ID 371</t>
  </si>
  <si>
    <t>14/10/19 GURI + sito; 14/10 Oss; 16/10 n.2quot</t>
  </si>
  <si>
    <t>14/7 iniz: 27/7/20</t>
  </si>
  <si>
    <t>176.1</t>
  </si>
  <si>
    <t>Atto sottomiss n.1 del 22.12.20</t>
  </si>
  <si>
    <t>176.2</t>
  </si>
  <si>
    <t>Atto sottomiss n.2 del 23.12.20</t>
  </si>
  <si>
    <t>176.3</t>
  </si>
  <si>
    <t>Atto sottomiss n.3 del 31.03.21</t>
  </si>
  <si>
    <t>176.4</t>
  </si>
  <si>
    <t>Atto sottomiss n.4 del 4.1.22</t>
  </si>
  <si>
    <t>176.5</t>
  </si>
  <si>
    <t>Atto sottomiss n.5 del 5.1.22</t>
  </si>
  <si>
    <t>176.6</t>
  </si>
  <si>
    <t>15.02.22 compensazione prezzi DL 73.2021-L.106.2021 (x lavori 1'sem.21)</t>
  </si>
  <si>
    <t>176.7</t>
  </si>
  <si>
    <t>8.07.22 compensazione prezzi DL 73.2021-L.106.2021 (x lavori 2'sem.21)</t>
  </si>
  <si>
    <r>
      <t xml:space="preserve">Adeguamento funzionale dei sistemi di approvvigionamento e trattamento di Giussago e della frazione Guinzano. Interconnessione delle reti acquedottistiche di Giussago e delle frazioni con Certosa di Pavia e Zeccone – REALIZZAZIONE NUOVA </t>
    </r>
    <r>
      <rPr>
        <b/>
        <sz val="8"/>
        <rFont val="Arial"/>
        <family val="2"/>
      </rPr>
      <t>CENTRALE</t>
    </r>
    <r>
      <rPr>
        <sz val="8"/>
        <rFont val="Arial"/>
        <family val="2"/>
      </rPr>
      <t xml:space="preserve"> DI POTABILIZZAZIONE </t>
    </r>
    <r>
      <rPr>
        <b/>
        <sz val="8"/>
        <rFont val="Arial"/>
        <family val="2"/>
      </rPr>
      <t>GIUSSAGO CAPOLUOGO</t>
    </r>
  </si>
  <si>
    <t>ID 304</t>
  </si>
  <si>
    <t>14/10/19 GURI + sito; 14/10 Oss; 18/10 n.2quot</t>
  </si>
  <si>
    <t>1.64%</t>
  </si>
  <si>
    <t>177.1</t>
  </si>
  <si>
    <t>Atto sottomiss n.1 del 8.2.21</t>
  </si>
  <si>
    <t>177.2</t>
  </si>
  <si>
    <t>Atto sottomiss n.2 del 26.2.21</t>
  </si>
  <si>
    <t>177.3</t>
  </si>
  <si>
    <t>Atto sottomiss n.3 del 12.7.21</t>
  </si>
  <si>
    <t>177.4</t>
  </si>
  <si>
    <t>Atto sottomiss n.4 del 10.1.22</t>
  </si>
  <si>
    <t>177.5</t>
  </si>
  <si>
    <t>Atto sottomiss n.5 del 18.2.22</t>
  </si>
  <si>
    <t>177.6</t>
  </si>
  <si>
    <t>25.02.2022 - Compensazione prezzi DL 73.2021-L.106.2021 (x lavori 1'sem.21)</t>
  </si>
  <si>
    <t>177.7</t>
  </si>
  <si>
    <r>
      <rPr>
        <b/>
        <sz val="8"/>
        <rFont val="Arial"/>
        <family val="2"/>
      </rPr>
      <t>ACC. QUADRO per la FORNITURA DI GRUPPI DI AUMENTO</t>
    </r>
    <r>
      <rPr>
        <sz val="8"/>
        <rFont val="Arial"/>
        <family val="2"/>
      </rPr>
      <t xml:space="preserve"> PRESSIONE PREASSEMBLATI PER ACQUA POTABILE</t>
    </r>
  </si>
  <si>
    <t>ID 247</t>
  </si>
  <si>
    <t>23/10/19 GURI + sito; 23/10 Oss</t>
  </si>
  <si>
    <r>
      <rPr>
        <b/>
        <sz val="8"/>
        <rFont val="Arial"/>
        <family val="2"/>
      </rPr>
      <t>Grundfos Pompe Italia Srl</t>
    </r>
    <r>
      <rPr>
        <sz val="8"/>
        <rFont val="Arial"/>
        <family val="2"/>
      </rPr>
      <t xml:space="preserve"> (Truccazzano MI)</t>
    </r>
  </si>
  <si>
    <t>24 m + 12</t>
  </si>
  <si>
    <r>
      <t xml:space="preserve">Trattamento terziario di affinamento e abbattimento della carica batterica presso il depuratore acque reflue del comune di Vigevano. </t>
    </r>
    <r>
      <rPr>
        <b/>
        <u/>
        <sz val="8"/>
        <rFont val="Arial"/>
        <family val="2"/>
      </rPr>
      <t>(prog.def.)</t>
    </r>
  </si>
  <si>
    <t>ID 312</t>
  </si>
  <si>
    <t>4/11/19 GURI + sito; 6/11 Oss; 9/11 n.2quot</t>
  </si>
  <si>
    <t>parz: 27/07/20; def: 14.10.20</t>
  </si>
  <si>
    <t>179.1</t>
  </si>
  <si>
    <t>Atto aggiuntivo di assestamento per lavori supplementari 15.04.21</t>
  </si>
  <si>
    <t>179.2</t>
  </si>
  <si>
    <t>Atto aggiuntivo di assestamento per lavori supplementari 01.06.21</t>
  </si>
  <si>
    <t>179.3</t>
  </si>
  <si>
    <t>9.5.22 Convalida conteggi ai sensi D.L. 73.2021 convertito con modificazioni della L.106.2021</t>
  </si>
  <si>
    <r>
      <t xml:space="preserve">Adeguamento funzionale dei sistemi di approvvigionamento e trattamento di Giussago e della frazione Guinzano. Interconnessione delle reti acquedottistiche di Giussago e delle frazioni con Certosa di Pavia e Zeccone. TEREBRAZIONE NUOVO </t>
    </r>
    <r>
      <rPr>
        <b/>
        <sz val="8"/>
        <rFont val="Arial"/>
        <family val="2"/>
      </rPr>
      <t>POZZO</t>
    </r>
    <r>
      <rPr>
        <sz val="8"/>
        <rFont val="Arial"/>
        <family val="2"/>
      </rPr>
      <t xml:space="preserve"> A SERVIZIO DELLA CENTRALE DI POTABILIZZAZIONE DI </t>
    </r>
    <r>
      <rPr>
        <b/>
        <sz val="8"/>
        <rFont val="Arial"/>
        <family val="2"/>
      </rPr>
      <t>GIUSSAGO CAPOLUOGO</t>
    </r>
  </si>
  <si>
    <t>P.N. 7/11/19 (n.7)</t>
  </si>
  <si>
    <r>
      <t>Negretti S.r.l.</t>
    </r>
    <r>
      <rPr>
        <sz val="8"/>
        <rFont val="Arial"/>
        <family val="2"/>
      </rPr>
      <t xml:space="preserve"> (Corteolona e Genzone PV)</t>
    </r>
  </si>
  <si>
    <r>
      <t xml:space="preserve">Comune di Garlasco. Adeguamento e potenziamento centrale di potabilizzazione </t>
    </r>
    <r>
      <rPr>
        <b/>
        <sz val="8"/>
        <rFont val="Arial"/>
        <family val="2"/>
      </rPr>
      <t>“Albera"</t>
    </r>
  </si>
  <si>
    <t>P.N. 26/7/19 (n.8)</t>
  </si>
  <si>
    <r>
      <t xml:space="preserve">Comune di </t>
    </r>
    <r>
      <rPr>
        <b/>
        <sz val="8"/>
        <rFont val="Arial"/>
        <family val="2"/>
      </rPr>
      <t>Siziano</t>
    </r>
    <r>
      <rPr>
        <sz val="8"/>
        <rFont val="Arial"/>
        <family val="2"/>
      </rPr>
      <t>. Adeguamento funzionale e strutturale del sistema di trattamento a servizio della rete acquedottistica - Potenziamento Centrale di potabilizzazione di Via I Maggio.</t>
    </r>
  </si>
  <si>
    <t>ID 310</t>
  </si>
  <si>
    <t>P.N. 27/11/19 (n.6 ALBO)</t>
  </si>
  <si>
    <t>17/2 iniz: 18/2/20</t>
  </si>
  <si>
    <r>
      <t xml:space="preserve">Comune di </t>
    </r>
    <r>
      <rPr>
        <b/>
        <sz val="8"/>
        <rFont val="Arial"/>
        <family val="2"/>
      </rPr>
      <t>Certosa</t>
    </r>
    <r>
      <rPr>
        <sz val="8"/>
        <rFont val="Arial"/>
        <family val="2"/>
      </rPr>
      <t xml:space="preserve"> di Pavia - Rifacimento dell'impianto di potabilizzazione di Via Verdi</t>
    </r>
  </si>
  <si>
    <t>ID 342</t>
  </si>
  <si>
    <t>P.N. 18/12/19 (n.6 ALBO)</t>
  </si>
  <si>
    <r>
      <rPr>
        <b/>
        <sz val="8"/>
        <rFont val="Arial"/>
        <family val="2"/>
      </rPr>
      <t>Istal Nuova Srl</t>
    </r>
    <r>
      <rPr>
        <sz val="8"/>
        <rFont val="Arial"/>
        <family val="2"/>
      </rPr>
      <t xml:space="preserve"> (Barberino Tavarnelle FI)</t>
    </r>
  </si>
  <si>
    <t>183.1</t>
  </si>
  <si>
    <t>Atto sottomissione 31.05.21</t>
  </si>
  <si>
    <t>184</t>
  </si>
  <si>
    <r>
      <t xml:space="preserve">Ristrutturazione della nuova </t>
    </r>
    <r>
      <rPr>
        <b/>
        <sz val="8"/>
        <rFont val="Arial"/>
        <family val="2"/>
      </rPr>
      <t>sede</t>
    </r>
    <r>
      <rPr>
        <sz val="8"/>
        <rFont val="Arial"/>
        <family val="2"/>
      </rPr>
      <t xml:space="preserve"> in via Torquato Taramelli n°2, Pavia</t>
    </r>
  </si>
  <si>
    <t>20/1/20 GURI + sito; 21/1 Oss; 25/1 n.2quot</t>
  </si>
  <si>
    <r>
      <t>Sclavi Costruzioni Generali Srl</t>
    </r>
    <r>
      <rPr>
        <sz val="8"/>
        <rFont val="Arial"/>
        <family val="2"/>
      </rPr>
      <t xml:space="preserve"> (Stradella PV) 64% </t>
    </r>
    <r>
      <rPr>
        <b/>
        <sz val="8"/>
        <rFont val="Arial"/>
        <family val="2"/>
      </rPr>
      <t>ATI</t>
    </r>
    <r>
      <rPr>
        <sz val="8"/>
        <rFont val="Arial"/>
        <family val="2"/>
      </rPr>
      <t xml:space="preserve"> con </t>
    </r>
    <r>
      <rPr>
        <b/>
        <sz val="8"/>
        <rFont val="Arial"/>
        <family val="2"/>
      </rPr>
      <t xml:space="preserve">E.T.I. </t>
    </r>
    <r>
      <rPr>
        <sz val="8"/>
        <rFont val="Arial"/>
        <family val="2"/>
      </rPr>
      <t xml:space="preserve">DI MUGGIATI IVAN E SACCHI FABIO SRL 36% </t>
    </r>
  </si>
  <si>
    <t>360; ridotti a 300</t>
  </si>
  <si>
    <t>8/10 iniz: 12/10/20</t>
  </si>
  <si>
    <t>184.1</t>
  </si>
  <si>
    <t>31.3.22 Atto sottomissione opere rimanenti e verbale concordamento nuovi prezzi</t>
  </si>
  <si>
    <r>
      <t xml:space="preserve">Realizzazione di un pozzo esplorativo presso l'impianto di potabilizzazione di Via D'Antona in </t>
    </r>
    <r>
      <rPr>
        <b/>
        <sz val="8"/>
        <rFont val="Arial"/>
        <family val="2"/>
      </rPr>
      <t>Cava Manara</t>
    </r>
    <r>
      <rPr>
        <sz val="8"/>
        <rFont val="Arial"/>
        <family val="2"/>
      </rPr>
      <t xml:space="preserve"> (PV).</t>
    </r>
  </si>
  <si>
    <t>P.N. 22/1/20 (n.7)</t>
  </si>
  <si>
    <r>
      <t xml:space="preserve">Landi di Chiarugi Srl </t>
    </r>
    <r>
      <rPr>
        <sz val="8"/>
        <rFont val="Arial"/>
        <family val="2"/>
      </rPr>
      <t>(Pisa)</t>
    </r>
  </si>
  <si>
    <r>
      <t xml:space="preserve">Realizzazione fognatura nella via </t>
    </r>
    <r>
      <rPr>
        <b/>
        <sz val="8"/>
        <rFont val="Arial"/>
        <family val="2"/>
      </rPr>
      <t>Primavera</t>
    </r>
    <r>
      <rPr>
        <sz val="8"/>
        <rFont val="Arial"/>
        <family val="2"/>
      </rPr>
      <t xml:space="preserve"> e strada Fogliano Inferiore, vie Settembrini, Varese e Romagna nel Comune di </t>
    </r>
    <r>
      <rPr>
        <b/>
        <sz val="8"/>
        <rFont val="Arial"/>
        <family val="2"/>
      </rPr>
      <t>Vigevano</t>
    </r>
  </si>
  <si>
    <t>10/2/20 Albo Pretorio comune Vigevano e PVA; siti web</t>
  </si>
  <si>
    <r>
      <t>Pansardi Srl</t>
    </r>
    <r>
      <rPr>
        <sz val="8"/>
        <rFont val="Arial"/>
        <family val="2"/>
      </rPr>
      <t xml:space="preserve"> (Moliterno - PZ)</t>
    </r>
  </si>
  <si>
    <t>19.3.21 variante</t>
  </si>
  <si>
    <t>25.1.23 compensazione prezzi DL 73.2021-L.106.2021 (x lavori 2021)</t>
  </si>
  <si>
    <t>31.3.23 atto sottomissione revisione prezzi DL 17.5.22 n. 50 art. 26 caro materiali corrisponde al 90% dell'aumento prezzi (PREZZIARIO LOMBARDIA) su LAVORI 2022</t>
  </si>
  <si>
    <r>
      <rPr>
        <b/>
        <sz val="8"/>
        <rFont val="Arial"/>
        <family val="2"/>
      </rPr>
      <t>ACC. QUADRO FORNITURA DI GRUPPI ELETTROSOFFIATORI</t>
    </r>
    <r>
      <rPr>
        <sz val="8"/>
        <rFont val="Arial"/>
        <family val="2"/>
      </rPr>
      <t xml:space="preserve"> SILENZIATI PER IMPIANTI DI POTABILIZZAZIONE</t>
    </r>
  </si>
  <si>
    <r>
      <t>Aerzen Italia Srl</t>
    </r>
    <r>
      <rPr>
        <sz val="8"/>
        <rFont val="Arial"/>
        <family val="2"/>
      </rPr>
      <t xml:space="preserve"> (Bollate MI)</t>
    </r>
  </si>
  <si>
    <r>
      <rPr>
        <b/>
        <sz val="8"/>
        <rFont val="Arial"/>
        <family val="2"/>
      </rPr>
      <t>ACC. QUADRO FORNITURA DI</t>
    </r>
    <r>
      <rPr>
        <sz val="8"/>
        <rFont val="Arial"/>
        <family val="2"/>
      </rPr>
      <t xml:space="preserve"> </t>
    </r>
    <r>
      <rPr>
        <b/>
        <sz val="8"/>
        <rFont val="Arial"/>
        <family val="2"/>
      </rPr>
      <t>COMPRESSORI</t>
    </r>
    <r>
      <rPr>
        <sz val="8"/>
        <rFont val="Arial"/>
        <family val="2"/>
      </rPr>
      <t xml:space="preserve"> E ACCESSORI PER IMPIANTI DI POTABILIZZAZIONE
</t>
    </r>
  </si>
  <si>
    <r>
      <t>KAESER COMPRESSORI SRL</t>
    </r>
    <r>
      <rPr>
        <sz val="8"/>
        <rFont val="Arial"/>
        <family val="2"/>
      </rPr>
      <t xml:space="preserve"> (Bologna)</t>
    </r>
  </si>
  <si>
    <r>
      <t xml:space="preserve">Adeguamento funzionale del sistema di distribuzione idrica di </t>
    </r>
    <r>
      <rPr>
        <b/>
        <sz val="8"/>
        <rFont val="Arial"/>
        <family val="2"/>
      </rPr>
      <t>Bascapè</t>
    </r>
  </si>
  <si>
    <t>ID 338</t>
  </si>
  <si>
    <r>
      <t xml:space="preserve">CO.M.AB. Srl </t>
    </r>
    <r>
      <rPr>
        <sz val="8"/>
        <rFont val="Arial"/>
        <family val="2"/>
      </rPr>
      <t>(Ateleta - AQ)</t>
    </r>
  </si>
  <si>
    <t>27.10.21 Atto sottomissione</t>
  </si>
  <si>
    <t>03.01.22 Compensazione prezzi DL 73/2021 convertito con modificazioni dalla legge 106/2021</t>
  </si>
  <si>
    <r>
      <t xml:space="preserve">Adeguamento funzionale dei sistemi di approvvigionamento e trattamento di Giussago e della frazione Guinzano. Interconnessione delle reti acquedottistiche di </t>
    </r>
    <r>
      <rPr>
        <b/>
        <sz val="8"/>
        <rFont val="Arial"/>
        <family val="2"/>
      </rPr>
      <t>Giussago</t>
    </r>
    <r>
      <rPr>
        <sz val="8"/>
        <rFont val="Arial"/>
        <family val="2"/>
      </rPr>
      <t xml:space="preserve"> e delle frazioni con Certosa di Pavia e Zeccone – REALIZZAZIONE NUOVA </t>
    </r>
    <r>
      <rPr>
        <b/>
        <sz val="8"/>
        <rFont val="Arial"/>
        <family val="2"/>
      </rPr>
      <t>CENTRALE</t>
    </r>
    <r>
      <rPr>
        <sz val="8"/>
        <rFont val="Arial"/>
        <family val="2"/>
      </rPr>
      <t xml:space="preserve"> DI POTABILIZZAZIONE NELLA FRAZIONE </t>
    </r>
    <r>
      <rPr>
        <b/>
        <sz val="8"/>
        <rFont val="Arial"/>
        <family val="2"/>
      </rPr>
      <t>GUINZANO</t>
    </r>
  </si>
  <si>
    <t>25/5/20 GURI + sito; 25/5 Oss; 27/5 n.2quot</t>
  </si>
  <si>
    <r>
      <rPr>
        <b/>
        <sz val="8"/>
        <rFont val="Arial"/>
        <family val="2"/>
      </rPr>
      <t xml:space="preserve">GIUDICI S.P.A.  </t>
    </r>
    <r>
      <rPr>
        <sz val="8"/>
        <rFont val="Arial"/>
        <family val="2"/>
      </rPr>
      <t>(Rogno BG)</t>
    </r>
  </si>
  <si>
    <t>6/9/21 iniz: 07/9/21</t>
  </si>
  <si>
    <t>09.02.21 Atto sottomissione e conc. nuovi prezzi n.1</t>
  </si>
  <si>
    <t>01.09.22 Compensazione prezzi DL 73/2021 convertito con modificazioni dalla legge 106/2021 su lavori 2'sem.21</t>
  </si>
  <si>
    <t>31.3.23 atto sottomissione n.2 DL 17.5.22 n. 50 art. 26 caro materiali corrisponde al 90% dell'aumento prezzi (PREZZIARIO LOMBARDIA) su LAVORI 2022</t>
  </si>
  <si>
    <r>
      <t xml:space="preserve">Comune di </t>
    </r>
    <r>
      <rPr>
        <b/>
        <sz val="8"/>
        <rFont val="Arial"/>
        <family val="2"/>
      </rPr>
      <t>Cava Manara</t>
    </r>
    <r>
      <rPr>
        <sz val="8"/>
        <rFont val="Arial"/>
        <family val="2"/>
      </rPr>
      <t>. Realizzazione interventi di riqualificazione della rete acquedottistica del capoluogo.</t>
    </r>
  </si>
  <si>
    <t>18/06/20 Albo Pretorio comune Cava M e PVA; siti web</t>
  </si>
  <si>
    <t>24/9 iniz: 05/10/20</t>
  </si>
  <si>
    <t>8.4.22 atto sottomiss agg</t>
  </si>
  <si>
    <t>30.11.22 atto sottomissione DL 17.5.22 n. 50 art. 26 caro materiali euro 7.090,54 corrisponde al 90% dell'aumento prezzi (PREZZIARIO LOMBARDIA) su LAVORI 2022</t>
  </si>
  <si>
    <r>
      <rPr>
        <b/>
        <sz val="8"/>
        <rFont val="Arial"/>
        <family val="2"/>
      </rPr>
      <t>ACC. QUADRO</t>
    </r>
    <r>
      <rPr>
        <sz val="8"/>
        <rFont val="Arial"/>
        <family val="2"/>
      </rPr>
      <t xml:space="preserve"> FORNITURA DI </t>
    </r>
    <r>
      <rPr>
        <b/>
        <sz val="8"/>
        <rFont val="Arial"/>
        <family val="2"/>
      </rPr>
      <t>PORTE STAGNE E BOTOLE</t>
    </r>
    <r>
      <rPr>
        <sz val="8"/>
        <rFont val="Arial"/>
        <family val="2"/>
      </rPr>
      <t xml:space="preserve"> DI ISPEZIONE IN ACCIAIO INOX PER VASCHE DI ACQUA POTABILE</t>
    </r>
  </si>
  <si>
    <t>22/6/20 GURI + siti PVA+TG; 23/6 Oss</t>
  </si>
  <si>
    <r>
      <rPr>
        <b/>
        <sz val="8"/>
        <rFont val="Arial"/>
        <family val="2"/>
      </rPr>
      <t xml:space="preserve">HUBER TECHNOLOGY SRL  </t>
    </r>
    <r>
      <rPr>
        <sz val="8"/>
        <rFont val="Arial"/>
        <family val="2"/>
      </rPr>
      <t>(Pineta di Laives BZ)</t>
    </r>
  </si>
  <si>
    <r>
      <t xml:space="preserve">Comune di </t>
    </r>
    <r>
      <rPr>
        <b/>
        <sz val="8"/>
        <rFont val="Arial"/>
        <family val="2"/>
      </rPr>
      <t>Pavia</t>
    </r>
    <r>
      <rPr>
        <sz val="8"/>
        <rFont val="Arial"/>
        <family val="2"/>
      </rPr>
      <t xml:space="preserve"> – Interventi di riqualificazione con tecniche a basso impatto ambientale della condotta fognaria in pressione di </t>
    </r>
    <r>
      <rPr>
        <b/>
        <sz val="8"/>
        <rFont val="Arial"/>
        <family val="2"/>
      </rPr>
      <t>Via Milazzo</t>
    </r>
    <r>
      <rPr>
        <sz val="8"/>
        <rFont val="Arial"/>
        <family val="2"/>
      </rPr>
      <t>.</t>
    </r>
  </si>
  <si>
    <t>P.N. 30/6/20 (n.11)</t>
  </si>
  <si>
    <r>
      <rPr>
        <b/>
        <sz val="8"/>
        <rFont val="Arial"/>
        <family val="2"/>
      </rPr>
      <t xml:space="preserve">EUROSCAVI SRL </t>
    </r>
    <r>
      <rPr>
        <sz val="8"/>
        <rFont val="Arial"/>
        <family val="2"/>
      </rPr>
      <t>(Badia Polesine RO)</t>
    </r>
  </si>
  <si>
    <r>
      <t xml:space="preserve">Adeguamento funzionale del sistema di approvvigionamento e distribuzione idrica di Rea, Verrua Po, Mezzanino, Bressana Bottarone e Pinarolo Po e relative interconnessioni. Comune di Verrua Po. TEREBRAZIONE NUOVO </t>
    </r>
    <r>
      <rPr>
        <b/>
        <sz val="8"/>
        <rFont val="Arial"/>
        <family val="2"/>
      </rPr>
      <t>POZZO</t>
    </r>
    <r>
      <rPr>
        <sz val="8"/>
        <rFont val="Arial"/>
        <family val="2"/>
      </rPr>
      <t xml:space="preserve"> A SERVIZIO DELLA CENTRALE DI POTABILIZZAZIONE DI </t>
    </r>
    <r>
      <rPr>
        <b/>
        <sz val="8"/>
        <rFont val="Arial"/>
        <family val="2"/>
      </rPr>
      <t>VERRUA PO, VIA CANOVA</t>
    </r>
    <r>
      <rPr>
        <sz val="8"/>
        <rFont val="Arial"/>
        <family val="2"/>
      </rPr>
      <t>.</t>
    </r>
  </si>
  <si>
    <t>ID 326</t>
  </si>
  <si>
    <t>P.N. 6/7/20 (ns albo n.8)</t>
  </si>
  <si>
    <t>21/1/21 iniz: 25/1</t>
  </si>
  <si>
    <r>
      <rPr>
        <b/>
        <sz val="8"/>
        <rFont val="Arial"/>
        <family val="2"/>
      </rPr>
      <t>ACC. QUADRO</t>
    </r>
    <r>
      <rPr>
        <sz val="8"/>
        <rFont val="Arial"/>
        <family val="2"/>
      </rPr>
      <t xml:space="preserve"> FORNITURA DI MISURATORI ELETTROMAGNETICI DI PORTATA PER ACQUA POTABILE </t>
    </r>
  </si>
  <si>
    <t>P.N. 3/9/20 (n.2)</t>
  </si>
  <si>
    <t>23/09/2020 h12</t>
  </si>
  <si>
    <r>
      <t xml:space="preserve">ENDRESS+HAUSER ITALIA SPA </t>
    </r>
    <r>
      <rPr>
        <sz val="8"/>
        <rFont val="Arial"/>
        <family val="2"/>
      </rPr>
      <t>(Cernusco sul Naviglio MI)</t>
    </r>
  </si>
  <si>
    <t>12 mesi + 12</t>
  </si>
  <si>
    <r>
      <t xml:space="preserve">Interventi di adeguamento e revamping del depuratore di </t>
    </r>
    <r>
      <rPr>
        <b/>
        <sz val="8"/>
        <rFont val="Arial"/>
        <family val="2"/>
      </rPr>
      <t>Voghera</t>
    </r>
  </si>
  <si>
    <t>18/9/20 GURI + sito; 18/9 Oss; 19/9 n.2quot; 12/10/20 GURI + sito; 12/10 Oss; 14/10 n.2quot</t>
  </si>
  <si>
    <r>
      <rPr>
        <strike/>
        <sz val="8"/>
        <rFont val="Arial"/>
        <family val="2"/>
      </rPr>
      <t>19/10/2020 h12</t>
    </r>
    <r>
      <rPr>
        <sz val="8"/>
        <rFont val="Arial"/>
        <family val="2"/>
      </rPr>
      <t>;</t>
    </r>
    <r>
      <rPr>
        <b/>
        <sz val="8"/>
        <rFont val="Arial"/>
        <family val="2"/>
      </rPr>
      <t xml:space="preserve"> proroga 3/11/20 h 12</t>
    </r>
  </si>
  <si>
    <r>
      <t>Bio System Company Srl</t>
    </r>
    <r>
      <rPr>
        <sz val="8"/>
        <rFont val="Arial"/>
        <family val="2"/>
      </rPr>
      <t xml:space="preserve"> (Matera) 80% </t>
    </r>
    <r>
      <rPr>
        <b/>
        <sz val="8"/>
        <rFont val="Arial"/>
        <family val="2"/>
      </rPr>
      <t xml:space="preserve">ATI </t>
    </r>
    <r>
      <rPr>
        <sz val="8"/>
        <rFont val="Arial"/>
        <family val="2"/>
      </rPr>
      <t xml:space="preserve">con </t>
    </r>
    <r>
      <rPr>
        <b/>
        <sz val="8"/>
        <rFont val="Arial"/>
        <family val="2"/>
      </rPr>
      <t>E.D.A. Technology Srl</t>
    </r>
    <r>
      <rPr>
        <sz val="8"/>
        <rFont val="Arial"/>
        <family val="2"/>
      </rPr>
      <t xml:space="preserve"> di Lonate Ceppino (VA) 20%</t>
    </r>
  </si>
  <si>
    <t>21/12/20 consegna anticipata; 03/02/21</t>
  </si>
  <si>
    <t>21.6.22 atto sottomissione perizia n.1</t>
  </si>
  <si>
    <t>5.12.22 D.L. 73.2021 compensaz prezzi x lavori 2021</t>
  </si>
  <si>
    <t>10.12.22 atto sottomissione DL 17.5.22 n. 50 art. 26 caro materiali (corrisponde al 90% dell'aumento prezzi x lavori 2022)</t>
  </si>
  <si>
    <t>31.8.23 atto sottomissione perizia n.2</t>
  </si>
  <si>
    <t>15.10.24 atto sottomissione DL 17.5.22 n. 50 art. 26 caro materiali (corrisponde al 80% dell'aumento prezzi x lavori 2023-24)</t>
  </si>
  <si>
    <t>28.02.25 atto sottomissione DL 17.5.22 n. 50 art. 26 caro materiali (corrisponde al 90% dell'aumento prezzi x lavori 2023-24)</t>
  </si>
  <si>
    <r>
      <t xml:space="preserve">Comuni di </t>
    </r>
    <r>
      <rPr>
        <b/>
        <sz val="8"/>
        <rFont val="Arial"/>
        <family val="2"/>
      </rPr>
      <t>Marzano e Torre d'Arese</t>
    </r>
    <r>
      <rPr>
        <sz val="8"/>
        <rFont val="Arial"/>
        <family val="2"/>
      </rPr>
      <t xml:space="preserve"> - Collettamento di Marzano, Spirago, Castel Lambro e Torre d'Arese a depuratore di Villanterio</t>
    </r>
  </si>
  <si>
    <t xml:space="preserve">ID 333 </t>
  </si>
  <si>
    <t>23/9/20 GURI + sito; 23/9 Oss; .../... n.2quot REVOCATA; 12/10/20 GURI + sito; 12/10 Oss; 14/10 n.2quot</t>
  </si>
  <si>
    <r>
      <rPr>
        <strike/>
        <sz val="8"/>
        <rFont val="Arial"/>
        <family val="2"/>
      </rPr>
      <t>26/10/2020 h12;</t>
    </r>
    <r>
      <rPr>
        <sz val="8"/>
        <rFont val="Arial"/>
        <family val="2"/>
      </rPr>
      <t xml:space="preserve"> </t>
    </r>
    <r>
      <rPr>
        <b/>
        <sz val="8"/>
        <rFont val="Arial"/>
        <family val="2"/>
      </rPr>
      <t>ripubblicata 11/11/20 h 12</t>
    </r>
  </si>
  <si>
    <t xml:space="preserve">14/12/20 consegna anticipata </t>
  </si>
  <si>
    <t>06.03.23 Atto sottomiss n. 2 DL. 50/2022 rev prezzi</t>
  </si>
  <si>
    <t xml:space="preserve">31.07.23 Atto sottomiss DL. 50/2022 rev prezzi su SAL 4 </t>
  </si>
  <si>
    <r>
      <rPr>
        <b/>
        <sz val="8"/>
        <rFont val="Arial"/>
        <family val="2"/>
      </rPr>
      <t>ACC. QUADRO</t>
    </r>
    <r>
      <rPr>
        <sz val="8"/>
        <rFont val="Arial"/>
        <family val="2"/>
      </rPr>
      <t xml:space="preserve"> relativo agli interventi di manutenzione straordinaria sui </t>
    </r>
    <r>
      <rPr>
        <b/>
        <sz val="8"/>
        <rFont val="Arial"/>
        <family val="2"/>
      </rPr>
      <t>pozzi</t>
    </r>
  </si>
  <si>
    <t>Affid. Diretto 28/10/20</t>
  </si>
  <si>
    <t>12 m + 6 m</t>
  </si>
  <si>
    <r>
      <rPr>
        <b/>
        <sz val="8"/>
        <rFont val="Arial"/>
        <family val="2"/>
      </rPr>
      <t>ACC. QUADRO</t>
    </r>
    <r>
      <rPr>
        <sz val="8"/>
        <rFont val="Arial"/>
        <family val="2"/>
      </rPr>
      <t xml:space="preserve"> Interventi di manutenzione su fabbricati e strutture adibiti al servizio idrico integrato nella Provincia di Pavia – anno 2020-2021</t>
    </r>
  </si>
  <si>
    <t>13/11/20 GURI + sito; 13/11 Oss; 15/11 n.2quot</t>
  </si>
  <si>
    <t>14/12/20 h12</t>
  </si>
  <si>
    <r>
      <t>SOL.EDIL GROUP SRL</t>
    </r>
    <r>
      <rPr>
        <sz val="8"/>
        <rFont val="Arial"/>
        <family val="2"/>
      </rPr>
      <t xml:space="preserve"> (Matino LE)</t>
    </r>
  </si>
  <si>
    <t>22/02/2021 US</t>
  </si>
  <si>
    <t>24 m + 6 m</t>
  </si>
  <si>
    <t>5/7/21 iniz: 12/7/21</t>
  </si>
  <si>
    <t>4.11.22 atto sottomissione e verb concor nuovi prezzi, DL 17.5.22 n. 50 art. 26 caro materiali euro 7.090,54 corrisponde al 90% dell'aumento prezzi (senza integrazione contratto perché al momento c'è capienza in neta)</t>
  </si>
  <si>
    <r>
      <t>Adeguamento, rinnovazione e potenziamento delle infrastrutture di approvvigionamento idrico. Comune di</t>
    </r>
    <r>
      <rPr>
        <b/>
        <sz val="8"/>
        <rFont val="Arial"/>
        <family val="2"/>
      </rPr>
      <t xml:space="preserve"> San Genesio ed Uniti</t>
    </r>
    <r>
      <rPr>
        <sz val="8"/>
        <rFont val="Arial"/>
        <family val="2"/>
      </rPr>
      <t>. Rifacimento centrale di potabilizzazione di Via Parco Vecchio.</t>
    </r>
  </si>
  <si>
    <t>P.N. 17/11/20 (n.6 ALBO)</t>
  </si>
  <si>
    <t>05/02/2021 US</t>
  </si>
  <si>
    <t>13.09.21 Atto sottomissione</t>
  </si>
  <si>
    <r>
      <t xml:space="preserve">Efficientamento energetico e funzionale dei comparti di </t>
    </r>
    <r>
      <rPr>
        <b/>
        <sz val="8"/>
        <rFont val="Arial"/>
        <family val="2"/>
      </rPr>
      <t>ossidazione</t>
    </r>
    <r>
      <rPr>
        <sz val="8"/>
        <rFont val="Arial"/>
        <family val="2"/>
      </rPr>
      <t xml:space="preserve"> e stabilizzazione/ispessimento fanghi del </t>
    </r>
    <r>
      <rPr>
        <b/>
        <sz val="8"/>
        <rFont val="Arial"/>
        <family val="2"/>
      </rPr>
      <t>depuratore di Casteggio.</t>
    </r>
  </si>
  <si>
    <t>30/11/20 GURI + sito + Oss</t>
  </si>
  <si>
    <r>
      <t>EDA TECHNOLOGY SRL</t>
    </r>
    <r>
      <rPr>
        <sz val="8"/>
        <rFont val="Arial"/>
        <family val="2"/>
      </rPr>
      <t xml:space="preserve"> (Lonate Ceppino - VA)</t>
    </r>
  </si>
  <si>
    <t>30.4.21 verb concord nuovi prezzi</t>
  </si>
  <si>
    <r>
      <t xml:space="preserve">Completa rinnovazione ed efficientamento energetico e funzionale del </t>
    </r>
    <r>
      <rPr>
        <b/>
        <sz val="8"/>
        <rFont val="Arial"/>
        <family val="2"/>
      </rPr>
      <t>comparto MBR del depuratore di Casteggio.</t>
    </r>
  </si>
  <si>
    <t>21/12/20 GUCE e TG + 28/12/20 GURI + 23/12 sito; 22/12 Oss; 29e30/12/20 n.4quot</t>
  </si>
  <si>
    <r>
      <t>B&amp;B SERVICE S.A.S. DI BUDRI PAOLO E C.</t>
    </r>
    <r>
      <rPr>
        <sz val="8"/>
        <rFont val="Arial"/>
        <family val="2"/>
      </rPr>
      <t xml:space="preserve"> (Voghera PV)</t>
    </r>
  </si>
  <si>
    <t>31/03/2021 US</t>
  </si>
  <si>
    <r>
      <t xml:space="preserve">Adeguamento, rinnovazione e potenziamento delle infrastrutture di approvvigionamento idrico. Comune di </t>
    </r>
    <r>
      <rPr>
        <b/>
        <sz val="8"/>
        <rFont val="Arial"/>
        <family val="2"/>
      </rPr>
      <t>Gambolò</t>
    </r>
    <r>
      <rPr>
        <sz val="8"/>
        <rFont val="Arial"/>
        <family val="2"/>
      </rPr>
      <t xml:space="preserve">. Riqualificazione della centrale di potabilizzazione di </t>
    </r>
    <r>
      <rPr>
        <b/>
        <sz val="8"/>
        <rFont val="Arial"/>
        <family val="2"/>
      </rPr>
      <t>Via Marconi</t>
    </r>
    <r>
      <rPr>
        <sz val="8"/>
        <rFont val="Arial"/>
        <family val="2"/>
      </rPr>
      <t>.</t>
    </r>
  </si>
  <si>
    <t>P.N. 11/1/21 (n.7 ALBO)</t>
  </si>
  <si>
    <t>02/02/21 h12</t>
  </si>
  <si>
    <r>
      <t>G.I.E. SRL</t>
    </r>
    <r>
      <rPr>
        <sz val="8"/>
        <rFont val="Arial"/>
        <family val="2"/>
      </rPr>
      <t xml:space="preserve"> (Moncalieri (TO)</t>
    </r>
  </si>
  <si>
    <t>…./12/21 iniz: .../12/21</t>
  </si>
  <si>
    <t>11.10.21 Atto sottomissione aggiunt n.1</t>
  </si>
  <si>
    <r>
      <t xml:space="preserve">Adeguamento, rinnovazione e potenziamento delle infrastrutture di approvvigionamento idrico. Comune di </t>
    </r>
    <r>
      <rPr>
        <b/>
        <sz val="8"/>
        <rFont val="Arial"/>
        <family val="2"/>
      </rPr>
      <t>Magherno</t>
    </r>
    <r>
      <rPr>
        <sz val="8"/>
        <rFont val="Arial"/>
        <family val="2"/>
      </rPr>
      <t xml:space="preserve">. Terebrazione nuovo </t>
    </r>
    <r>
      <rPr>
        <b/>
        <sz val="8"/>
        <rFont val="Arial"/>
        <family val="2"/>
      </rPr>
      <t>pozzo</t>
    </r>
    <r>
      <rPr>
        <sz val="8"/>
        <rFont val="Arial"/>
        <family val="2"/>
      </rPr>
      <t xml:space="preserve"> a servizio della centrale di potabilizzazione di Via Borgo Oleario.</t>
    </r>
  </si>
  <si>
    <t>P.N. 15/2/21 (ns albo n.7)</t>
  </si>
  <si>
    <r>
      <t>I.P.T.A. DI VASSALLI S.R.L.</t>
    </r>
    <r>
      <rPr>
        <sz val="8"/>
        <rFont val="Arial"/>
        <family val="2"/>
      </rPr>
      <t xml:space="preserve"> (Torbole Casaglia BS)</t>
    </r>
  </si>
  <si>
    <t>11/05/2021 US</t>
  </si>
  <si>
    <t>cons. parz. 24/06/21</t>
  </si>
  <si>
    <t>…/3/22</t>
  </si>
  <si>
    <r>
      <t>Collettamento alla depurazione centralizzata presso l'impianto di Linarolo dei reflui dell'Agglomerato AG01808102 (</t>
    </r>
    <r>
      <rPr>
        <b/>
        <sz val="8"/>
        <rFont val="Arial"/>
        <family val="2"/>
      </rPr>
      <t>Linarolo -</t>
    </r>
    <r>
      <rPr>
        <sz val="8"/>
        <rFont val="Arial"/>
        <family val="2"/>
      </rPr>
      <t xml:space="preserve"> </t>
    </r>
    <r>
      <rPr>
        <b/>
        <sz val="8"/>
        <rFont val="Arial"/>
        <family val="2"/>
      </rPr>
      <t>Vaccarizza</t>
    </r>
    <r>
      <rPr>
        <sz val="8"/>
        <rFont val="Arial"/>
        <family val="2"/>
      </rPr>
      <t>).</t>
    </r>
  </si>
  <si>
    <t>ID 350</t>
  </si>
  <si>
    <t>12/04/21 Albo Pretorio comune Linarolo e Valle Salimbene e TG + PVA; siti web</t>
  </si>
  <si>
    <r>
      <t xml:space="preserve">NET COMUNICATION SRL </t>
    </r>
    <r>
      <rPr>
        <sz val="8"/>
        <rFont val="Arial"/>
        <family val="2"/>
      </rPr>
      <t>(Milano)</t>
    </r>
  </si>
  <si>
    <t>18/11/2023 (finiti 16/12/22)</t>
  </si>
  <si>
    <t>18.11.22 atto sottomissione DL 17.5.22 n. 50 caro materiali (90% lav)</t>
  </si>
  <si>
    <t>04.01.23 atto sottomissione n.4 DL 17.5.22 n. 50 caro materiali (90% lav)</t>
  </si>
  <si>
    <t>20.10.23 atto sottomissione n.4 DL 17.5.22 n. 50 caro materiali (90% lav)</t>
  </si>
  <si>
    <r>
      <t xml:space="preserve">Interventi di manutenzione straordinaria e programmata. Comune di </t>
    </r>
    <r>
      <rPr>
        <b/>
        <sz val="8"/>
        <rFont val="Arial"/>
        <family val="2"/>
      </rPr>
      <t>Torre d’Isola</t>
    </r>
    <r>
      <rPr>
        <sz val="8"/>
        <rFont val="Arial"/>
        <family val="2"/>
      </rPr>
      <t xml:space="preserve">. Realizzazione di nuovo manufatto </t>
    </r>
    <r>
      <rPr>
        <b/>
        <sz val="8"/>
        <rFont val="Arial"/>
        <family val="2"/>
      </rPr>
      <t>scolmatore</t>
    </r>
    <r>
      <rPr>
        <sz val="8"/>
        <rFont val="Arial"/>
        <family val="2"/>
      </rPr>
      <t xml:space="preserve"> rete fognaria mista capoluogo.</t>
    </r>
  </si>
  <si>
    <t>P.N. 13/04/21 (n.21 albo pva)</t>
  </si>
  <si>
    <r>
      <t>TACCHINI ALBINO &amp; C. SAS</t>
    </r>
    <r>
      <rPr>
        <sz val="8"/>
        <rFont val="Arial"/>
        <family val="2"/>
      </rPr>
      <t xml:space="preserve"> (Scaldasole PV)</t>
    </r>
  </si>
  <si>
    <t>16/06/2021 US</t>
  </si>
  <si>
    <r>
      <t xml:space="preserve">Comune di </t>
    </r>
    <r>
      <rPr>
        <b/>
        <sz val="8"/>
        <rFont val="Arial"/>
        <family val="2"/>
      </rPr>
      <t>Siziano</t>
    </r>
    <r>
      <rPr>
        <sz val="8"/>
        <rFont val="Arial"/>
        <family val="2"/>
      </rPr>
      <t xml:space="preserve">. Adeguamento funzionale e strutturale del sistema di trattamento a servizio della rete acquedottistica - Terebrazione nuovo </t>
    </r>
    <r>
      <rPr>
        <b/>
        <sz val="8"/>
        <rFont val="Arial"/>
        <family val="2"/>
      </rPr>
      <t>pozzo</t>
    </r>
    <r>
      <rPr>
        <sz val="8"/>
        <rFont val="Arial"/>
        <family val="2"/>
      </rPr>
      <t xml:space="preserve"> via 1' Maggio.</t>
    </r>
  </si>
  <si>
    <t>P.N. 26/4/21 (ns albo n.6)</t>
  </si>
  <si>
    <t>05/07/2021 US</t>
  </si>
  <si>
    <t>7/10/21 iniz: 8/10/21</t>
  </si>
  <si>
    <t>27.11.22 atto sottomissione DL 17.5.22 n. 50 per lavori nel 2022</t>
  </si>
  <si>
    <r>
      <rPr>
        <b/>
        <sz val="8"/>
        <rFont val="Arial"/>
        <family val="2"/>
      </rPr>
      <t>Lavori</t>
    </r>
    <r>
      <rPr>
        <sz val="8"/>
        <rFont val="Arial"/>
        <family val="2"/>
      </rPr>
      <t xml:space="preserve"> di installazione di dispositivi di misura digitali per acqua fredda (“</t>
    </r>
    <r>
      <rPr>
        <b/>
        <sz val="8"/>
        <rFont val="Arial"/>
        <family val="2"/>
      </rPr>
      <t>smart meter</t>
    </r>
    <r>
      <rPr>
        <sz val="8"/>
        <rFont val="Arial"/>
        <family val="2"/>
      </rPr>
      <t xml:space="preserve">”) e prestazioni accessorie, suddiviso in </t>
    </r>
    <r>
      <rPr>
        <b/>
        <sz val="8"/>
        <rFont val="Arial"/>
        <family val="2"/>
      </rPr>
      <t>2 lotti.</t>
    </r>
    <r>
      <rPr>
        <sz val="8"/>
        <rFont val="Arial"/>
        <family val="2"/>
      </rPr>
      <t xml:space="preserve"> 
</t>
    </r>
    <r>
      <rPr>
        <b/>
        <sz val="8"/>
        <rFont val="Arial"/>
        <family val="2"/>
      </rPr>
      <t xml:space="preserve">LOTTO 1 OLTREPO </t>
    </r>
  </si>
  <si>
    <t>239_xx</t>
  </si>
  <si>
    <t>7/5/21 GURI + sito; 11/5 Oss; 8/5 n.2quot</t>
  </si>
  <si>
    <t>07/06/21 h12</t>
  </si>
  <si>
    <r>
      <t>SIRAM SPA</t>
    </r>
    <r>
      <rPr>
        <sz val="8"/>
        <rFont val="Arial"/>
        <family val="2"/>
      </rPr>
      <t xml:space="preserve"> (Milano)</t>
    </r>
  </si>
  <si>
    <t>30/12/2021 US</t>
  </si>
  <si>
    <t>11.1.23</t>
  </si>
  <si>
    <t>pav/lom</t>
  </si>
  <si>
    <r>
      <rPr>
        <b/>
        <sz val="8"/>
        <rFont val="Arial"/>
        <family val="2"/>
      </rPr>
      <t>Lavori</t>
    </r>
    <r>
      <rPr>
        <sz val="8"/>
        <rFont val="Arial"/>
        <family val="2"/>
      </rPr>
      <t xml:space="preserve"> di installazione di dispositivi di misura digitali per acqua fredda (“</t>
    </r>
    <r>
      <rPr>
        <b/>
        <sz val="8"/>
        <rFont val="Arial"/>
        <family val="2"/>
      </rPr>
      <t>smart meter</t>
    </r>
    <r>
      <rPr>
        <sz val="8"/>
        <rFont val="Arial"/>
        <family val="2"/>
      </rPr>
      <t xml:space="preserve">”) e prestazioni accessorie, suddiviso in </t>
    </r>
    <r>
      <rPr>
        <b/>
        <sz val="8"/>
        <rFont val="Arial"/>
        <family val="2"/>
      </rPr>
      <t>2 lotti.</t>
    </r>
    <r>
      <rPr>
        <sz val="8"/>
        <rFont val="Arial"/>
        <family val="2"/>
      </rPr>
      <t xml:space="preserve"> 
</t>
    </r>
    <r>
      <rPr>
        <b/>
        <sz val="8"/>
        <rFont val="Arial"/>
        <family val="2"/>
      </rPr>
      <t>LOTTO 2 PAV/LOM</t>
    </r>
  </si>
  <si>
    <r>
      <t>CONSORZIO SERVIZI QUALIFICATI</t>
    </r>
    <r>
      <rPr>
        <sz val="8"/>
        <rFont val="Arial"/>
        <family val="2"/>
      </rPr>
      <t xml:space="preserve"> (Genova)</t>
    </r>
  </si>
  <si>
    <t>13/12/2021 US</t>
  </si>
  <si>
    <r>
      <t xml:space="preserve">Comune di </t>
    </r>
    <r>
      <rPr>
        <b/>
        <sz val="8"/>
        <rFont val="Arial"/>
        <family val="2"/>
      </rPr>
      <t>Vidigulfo</t>
    </r>
    <r>
      <rPr>
        <sz val="8"/>
        <rFont val="Arial"/>
        <family val="2"/>
      </rPr>
      <t xml:space="preserve">. Ristrutturazione e potenziamento del sistema acquedottistico comunale – TEREBRAZIONE NUOVO </t>
    </r>
    <r>
      <rPr>
        <b/>
        <sz val="8"/>
        <rFont val="Arial"/>
        <family val="2"/>
      </rPr>
      <t>POZZO</t>
    </r>
    <r>
      <rPr>
        <sz val="8"/>
        <rFont val="Arial"/>
        <family val="2"/>
      </rPr>
      <t xml:space="preserve"> A SERVIZIO DELLA CENTRALE DI POTABILIZZAZIONE DI VIA ALDO MORO</t>
    </r>
  </si>
  <si>
    <t>P.N. 4/6/21 (ns albo n.5)</t>
  </si>
  <si>
    <t>24/06/21 h12.00</t>
  </si>
  <si>
    <t>25/08/2021 US</t>
  </si>
  <si>
    <r>
      <t xml:space="preserve">Comune di </t>
    </r>
    <r>
      <rPr>
        <b/>
        <sz val="8"/>
        <rFont val="Arial"/>
        <family val="2"/>
      </rPr>
      <t>Torrevecchia Pia</t>
    </r>
    <r>
      <rPr>
        <sz val="8"/>
        <rFont val="Arial"/>
        <family val="2"/>
      </rPr>
      <t xml:space="preserve">. Riqualificazione e potenziamento degli impianti di approvvigionamento, potabilizzazione e accumulo a servizio dell'acquedotto comunale, con </t>
    </r>
    <r>
      <rPr>
        <b/>
        <sz val="8"/>
        <rFont val="Arial"/>
        <family val="2"/>
      </rPr>
      <t>eliminazione</t>
    </r>
    <r>
      <rPr>
        <sz val="8"/>
        <rFont val="Arial"/>
        <family val="2"/>
      </rPr>
      <t xml:space="preserve"> della vasca pensile.</t>
    </r>
  </si>
  <si>
    <t>16/06/21 Albo Pretorio comune Torrevecchia Pia + siti web TG e PVA</t>
  </si>
  <si>
    <t>19/07/21 h12.00</t>
  </si>
  <si>
    <r>
      <t>NUOVA SYSTEM SRL</t>
    </r>
    <r>
      <rPr>
        <sz val="8"/>
        <rFont val="Arial"/>
        <family val="2"/>
      </rPr>
      <t xml:space="preserve"> (Seregno - MB)</t>
    </r>
  </si>
  <si>
    <t>17/2/22 iniz: 21/2/22</t>
  </si>
  <si>
    <t>15.7.22 atto sottomissione DL 17.5.22 n. 50 caro materiali a titolo di anticipazione</t>
  </si>
  <si>
    <t>2.11.22 atto sottomissione n.2 DL 17.5.22 n. 50 caro materiali euro 26.978,59 dedotta l'anticipazione</t>
  </si>
  <si>
    <t xml:space="preserve">10.1.23 atto sottomissione n.3 DL 17.5.22 n. 50 caro materiali </t>
  </si>
  <si>
    <t xml:space="preserve">12.5.23 atto sottomissione n.3 (bis !!!) DL 17.5.22 n. 50 caro materiali </t>
  </si>
  <si>
    <r>
      <t xml:space="preserve">Adeguamento, rinnovazione e potenziamento delle infrastrutture di approvvigionamento idrico. Comune di </t>
    </r>
    <r>
      <rPr>
        <b/>
        <sz val="8"/>
        <rFont val="Arial"/>
        <family val="2"/>
      </rPr>
      <t>Santa Cristina e Bissone</t>
    </r>
    <r>
      <rPr>
        <sz val="8"/>
        <rFont val="Arial"/>
        <family val="2"/>
      </rPr>
      <t>. Rifacimento centrale di potabilizzazione di Via Po.</t>
    </r>
  </si>
  <si>
    <t>P.N. 21/6/21 (n.7 ALBO)</t>
  </si>
  <si>
    <t>12/07/21 h12</t>
  </si>
  <si>
    <t>consegna parziale 30/09/21; 04/09/23 def</t>
  </si>
  <si>
    <t>6/6/23; INIZIO LAVORI: 19/06/23 !!</t>
  </si>
  <si>
    <t>3.1.24 atto sottomissione DL 17.5.22 n. 50 caro materiali (lav 2023, 90%)</t>
  </si>
  <si>
    <t>15.5.24 Atto aggiuntivo x lav suppl</t>
  </si>
  <si>
    <r>
      <rPr>
        <b/>
        <sz val="8"/>
        <rFont val="Arial"/>
        <family val="2"/>
      </rPr>
      <t xml:space="preserve">Lavori civili, edili e idraulici su allacci </t>
    </r>
    <r>
      <rPr>
        <sz val="8"/>
        <rFont val="Arial"/>
        <family val="2"/>
      </rPr>
      <t xml:space="preserve">acquedotto e impianti utenza, suddivisa in </t>
    </r>
    <r>
      <rPr>
        <b/>
        <sz val="8"/>
        <rFont val="Arial"/>
        <family val="2"/>
      </rPr>
      <t>3 lotti</t>
    </r>
    <r>
      <rPr>
        <sz val="8"/>
        <rFont val="Arial"/>
        <family val="2"/>
      </rPr>
      <t xml:space="preserve">. </t>
    </r>
    <r>
      <rPr>
        <b/>
        <sz val="8"/>
        <rFont val="Arial"/>
        <family val="2"/>
      </rPr>
      <t>Lotto 1 Pavese</t>
    </r>
  </si>
  <si>
    <t>247_xx</t>
  </si>
  <si>
    <t>25/6/21 GURI + sito; 2/7 Oss; 29/6 n.2quot</t>
  </si>
  <si>
    <t>26/07/21 h12</t>
  </si>
  <si>
    <t>NON AGGIUDICATO</t>
  </si>
  <si>
    <r>
      <rPr>
        <b/>
        <sz val="8"/>
        <rFont val="Arial"/>
        <family val="2"/>
      </rPr>
      <t xml:space="preserve">Lavori civili, edili e idraulici su allacci </t>
    </r>
    <r>
      <rPr>
        <sz val="8"/>
        <rFont val="Arial"/>
        <family val="2"/>
      </rPr>
      <t xml:space="preserve">acquedotto e impianti utenza, suddivisa in </t>
    </r>
    <r>
      <rPr>
        <b/>
        <sz val="8"/>
        <rFont val="Arial"/>
        <family val="2"/>
      </rPr>
      <t>3 lotti. Lotto 2 Oltrepo</t>
    </r>
  </si>
  <si>
    <r>
      <t xml:space="preserve">CO.M.AB. S.R.L. </t>
    </r>
    <r>
      <rPr>
        <sz val="8"/>
        <rFont val="Arial"/>
        <family val="2"/>
      </rPr>
      <t xml:space="preserve">(Ateleta AQ) 85% </t>
    </r>
    <r>
      <rPr>
        <b/>
        <sz val="8"/>
        <rFont val="Arial"/>
        <family val="2"/>
      </rPr>
      <t xml:space="preserve">rti con EPROM S.R.L. </t>
    </r>
    <r>
      <rPr>
        <sz val="8"/>
        <rFont val="Arial"/>
        <family val="2"/>
      </rPr>
      <t>(CH)</t>
    </r>
    <r>
      <rPr>
        <b/>
        <sz val="8"/>
        <rFont val="Arial"/>
        <family val="2"/>
      </rPr>
      <t xml:space="preserve"> </t>
    </r>
    <r>
      <rPr>
        <sz val="8"/>
        <rFont val="Arial"/>
        <family val="2"/>
      </rPr>
      <t>15%</t>
    </r>
  </si>
  <si>
    <t>27.02.23 atto di sottomissione n.2 DL 50/2022 rev prezzi (90%)</t>
  </si>
  <si>
    <t>27.03.23 atto di sottomissione n.3 DL 50/2022 rev prezzi 90% (importo revisione € 12.786,85 - 0,15 centesimi per arrot)</t>
  </si>
  <si>
    <t>15.6.23 atto sottomissione n.4 quinto d'obbligo</t>
  </si>
  <si>
    <t>19.6.23 atto di sottomissione n.5 DL 50/2022 rev prezzi 90%</t>
  </si>
  <si>
    <t>31.7.23 atto di sottomissione n.7 DL 50/2022 rev prezzi 90%</t>
  </si>
  <si>
    <t>3.8.23 atto sottomissione n.6 lavoraz aggiuntive</t>
  </si>
  <si>
    <t>19.09.23 atto di sottomissione n.8 DL 50/2022 rev prezzi (90%)</t>
  </si>
  <si>
    <r>
      <rPr>
        <b/>
        <sz val="8"/>
        <rFont val="Arial"/>
        <family val="2"/>
      </rPr>
      <t xml:space="preserve">Lavori civili, edili e idraulici su allacci </t>
    </r>
    <r>
      <rPr>
        <sz val="8"/>
        <rFont val="Arial"/>
        <family val="2"/>
      </rPr>
      <t xml:space="preserve">acquedotto e impianti utenza, suddivisa in </t>
    </r>
    <r>
      <rPr>
        <b/>
        <sz val="8"/>
        <rFont val="Arial"/>
        <family val="2"/>
      </rPr>
      <t>3 lotti</t>
    </r>
    <r>
      <rPr>
        <sz val="8"/>
        <rFont val="Arial"/>
        <family val="2"/>
      </rPr>
      <t xml:space="preserve">. </t>
    </r>
    <r>
      <rPr>
        <b/>
        <sz val="8"/>
        <rFont val="Arial"/>
        <family val="2"/>
      </rPr>
      <t>Lotto 3 Lomellina</t>
    </r>
  </si>
  <si>
    <r>
      <rPr>
        <b/>
        <sz val="8"/>
        <rFont val="Arial"/>
        <family val="2"/>
      </rPr>
      <t xml:space="preserve">Lavori civili, edili e idraulici su allacci </t>
    </r>
    <r>
      <rPr>
        <sz val="8"/>
        <rFont val="Arial"/>
        <family val="2"/>
      </rPr>
      <t xml:space="preserve">acquedotto e impianti utenza, suddivisa in </t>
    </r>
    <r>
      <rPr>
        <b/>
        <sz val="8"/>
        <rFont val="Arial"/>
        <family val="2"/>
      </rPr>
      <t>2 lotti</t>
    </r>
    <r>
      <rPr>
        <sz val="8"/>
        <rFont val="Arial"/>
        <family val="2"/>
      </rPr>
      <t>.</t>
    </r>
    <r>
      <rPr>
        <b/>
        <sz val="8"/>
        <rFont val="Arial"/>
        <family val="2"/>
      </rPr>
      <t xml:space="preserve"> Lotto 1 Pavese</t>
    </r>
  </si>
  <si>
    <t>29/10/21 GURI +sito +TG; 29/10 Oss; 4/11 n.2quot</t>
  </si>
  <si>
    <t>29/11/21 h12</t>
  </si>
  <si>
    <r>
      <t xml:space="preserve">ZANOTTI SRL </t>
    </r>
    <r>
      <rPr>
        <sz val="8"/>
        <rFont val="Arial"/>
        <family val="2"/>
      </rPr>
      <t>(Voghera PV)</t>
    </r>
  </si>
  <si>
    <r>
      <rPr>
        <b/>
        <sz val="8"/>
        <rFont val="Arial"/>
        <family val="2"/>
      </rPr>
      <t xml:space="preserve">Lavori civili, edili e idraulici su allacci </t>
    </r>
    <r>
      <rPr>
        <sz val="8"/>
        <rFont val="Arial"/>
        <family val="2"/>
      </rPr>
      <t xml:space="preserve">acquedotto e impianti utenza, suddivisa in </t>
    </r>
    <r>
      <rPr>
        <b/>
        <sz val="8"/>
        <rFont val="Arial"/>
        <family val="2"/>
      </rPr>
      <t>2 lotti</t>
    </r>
    <r>
      <rPr>
        <sz val="8"/>
        <rFont val="Arial"/>
        <family val="2"/>
      </rPr>
      <t xml:space="preserve">. </t>
    </r>
    <r>
      <rPr>
        <b/>
        <sz val="8"/>
        <rFont val="Arial"/>
        <family val="2"/>
      </rPr>
      <t>Lotto 2 Lomellina</t>
    </r>
  </si>
  <si>
    <r>
      <t xml:space="preserve">Interventi di manutenzione straordinaria e programmata. Comune di </t>
    </r>
    <r>
      <rPr>
        <b/>
        <sz val="8"/>
        <rFont val="Arial"/>
        <family val="2"/>
      </rPr>
      <t>Confienza</t>
    </r>
    <r>
      <rPr>
        <sz val="8"/>
        <rFont val="Arial"/>
        <family val="2"/>
      </rPr>
      <t xml:space="preserve"> (PV). Riqualificazione con tecniche a basso impatto ambientale della condotta fognaria di Corso Vittorio Emanuele II.</t>
    </r>
  </si>
  <si>
    <t>P.N. 30/6/21 (n.11)</t>
  </si>
  <si>
    <t>22/07/21 h 12.00</t>
  </si>
  <si>
    <r>
      <t>IN.TE.CO. SRL</t>
    </r>
    <r>
      <rPr>
        <sz val="8"/>
        <rFont val="Arial"/>
        <family val="2"/>
      </rPr>
      <t xml:space="preserve"> (Cambiago MI)</t>
    </r>
  </si>
  <si>
    <t>22/09/2021 US</t>
  </si>
  <si>
    <t>13/10/21 iniz: 25/10/21</t>
  </si>
  <si>
    <t>11.8.22 ATTO SOTTOMISSIONE compensazione prezzi DL.50.2022</t>
  </si>
  <si>
    <r>
      <t xml:space="preserve">Adeguamento funzionale del sistema di approvvigionamento e distribuzione idrica di Rea, Verrua Po, Mezzanino, Bressana Bottarone e </t>
    </r>
    <r>
      <rPr>
        <b/>
        <sz val="8"/>
        <rFont val="Arial"/>
        <family val="2"/>
      </rPr>
      <t>Pinarolo Po</t>
    </r>
    <r>
      <rPr>
        <sz val="8"/>
        <rFont val="Arial"/>
        <family val="2"/>
      </rPr>
      <t xml:space="preserve"> e relative interconnessioni. Lotto 1: Realizzazione nuova vasca di compenso e rilancio a servizio del Comune di Bressana Bottarone (</t>
    </r>
    <r>
      <rPr>
        <b/>
        <sz val="8"/>
        <rFont val="Arial"/>
        <family val="2"/>
      </rPr>
      <t>Vasca Robecchina</t>
    </r>
    <r>
      <rPr>
        <sz val="8"/>
        <rFont val="Arial"/>
        <family val="2"/>
      </rPr>
      <t>)</t>
    </r>
  </si>
  <si>
    <t>326_1</t>
  </si>
  <si>
    <t>7/7/21 GURI + sito; 15/7 Oss; 8/7 n.2quot</t>
  </si>
  <si>
    <r>
      <t>GECO SRL SOCIETA’ UNIPERSONALE</t>
    </r>
    <r>
      <rPr>
        <sz val="8"/>
        <rFont val="Arial"/>
        <family val="2"/>
      </rPr>
      <t xml:space="preserve"> (Atella PZ)</t>
    </r>
  </si>
  <si>
    <t>13/8/21 consegna anticipata parz; 24/5/22</t>
  </si>
  <si>
    <t>18.7.23 atto aggiuntivo e verb concord nuovi prezzi</t>
  </si>
  <si>
    <t>21.12.23 ATTO SOTTOMISSIONE compensazione prezzi DL.50.2022 e L.197.22 bil (90% lavori 2023)</t>
  </si>
  <si>
    <r>
      <t xml:space="preserve">Adeguamento, rinnovazione e potenziamento delle infrastrutture di approvvigionamento idrico. Comune di </t>
    </r>
    <r>
      <rPr>
        <b/>
        <sz val="8"/>
        <rFont val="Arial"/>
        <family val="2"/>
      </rPr>
      <t>Magherno</t>
    </r>
    <r>
      <rPr>
        <sz val="8"/>
        <rFont val="Arial"/>
        <family val="2"/>
      </rPr>
      <t xml:space="preserve">. Realizzazione nuova centrale di potabilizzazione di </t>
    </r>
    <r>
      <rPr>
        <b/>
        <sz val="8"/>
        <rFont val="Arial"/>
        <family val="2"/>
      </rPr>
      <t>Via Borgo Oleario</t>
    </r>
    <r>
      <rPr>
        <sz val="8"/>
        <rFont val="Arial"/>
        <family val="2"/>
      </rPr>
      <t>.</t>
    </r>
  </si>
  <si>
    <t>23/7/21 GURI +sito +TG; 23/7 Oss; 24/7 n.2quot</t>
  </si>
  <si>
    <t>13/09/21 h 12.00</t>
  </si>
  <si>
    <t>consegna parziale 13/12/21</t>
  </si>
  <si>
    <t>13.10.23 ATTO SOTTOMISSIONE compensazione prezzi DL.50.2022, L.197.22 bil (90% lavori 2023)</t>
  </si>
  <si>
    <r>
      <t xml:space="preserve">Potenziamento del sistema acquedottistico di </t>
    </r>
    <r>
      <rPr>
        <b/>
        <sz val="8"/>
        <rFont val="Arial"/>
        <family val="2"/>
      </rPr>
      <t>Cilavegna</t>
    </r>
    <r>
      <rPr>
        <sz val="8"/>
        <rFont val="Arial"/>
        <family val="2"/>
      </rPr>
      <t xml:space="preserve">. Terebrazione nuovo </t>
    </r>
    <r>
      <rPr>
        <b/>
        <sz val="8"/>
        <rFont val="Arial"/>
        <family val="2"/>
      </rPr>
      <t>pozzo</t>
    </r>
    <r>
      <rPr>
        <sz val="8"/>
        <rFont val="Arial"/>
        <family val="2"/>
      </rPr>
      <t xml:space="preserve"> a servizio della centrale di potabilizzazione di Via Riseria.</t>
    </r>
  </si>
  <si>
    <t>ID 344</t>
  </si>
  <si>
    <t>P.N. 21/7/21 (ns albo n.5)</t>
  </si>
  <si>
    <t>1/09/21 h12.00</t>
  </si>
  <si>
    <r>
      <t xml:space="preserve">PIETRO SUCCIO SRL </t>
    </r>
    <r>
      <rPr>
        <sz val="8"/>
        <rFont val="Arial"/>
        <family val="2"/>
      </rPr>
      <t>(Asti)</t>
    </r>
  </si>
  <si>
    <t>09/02/23: iniz 13/2/23</t>
  </si>
  <si>
    <r>
      <t xml:space="preserve">Adeguamento funzionale dell'impianto di </t>
    </r>
    <r>
      <rPr>
        <b/>
        <sz val="8"/>
        <rFont val="Arial"/>
        <family val="2"/>
      </rPr>
      <t>depurazione</t>
    </r>
    <r>
      <rPr>
        <sz val="8"/>
        <rFont val="Arial"/>
        <family val="2"/>
      </rPr>
      <t xml:space="preserve"> centralizzato di </t>
    </r>
    <r>
      <rPr>
        <b/>
        <sz val="8"/>
        <rFont val="Arial"/>
        <family val="2"/>
      </rPr>
      <t>Sannazzaro</t>
    </r>
    <r>
      <rPr>
        <sz val="8"/>
        <rFont val="Arial"/>
        <family val="2"/>
      </rPr>
      <t xml:space="preserve"> de' Burgondi a servizio del nuovo schema depurativo comprendente gli agglomerati di Sannazzaro de' Burgondi (AG01813801), Zinasco (AG01819001), Zinasco-Sairano (AG01819002) e Pieve Albignola (AG01811201)</t>
    </r>
  </si>
  <si>
    <t>ID 327</t>
  </si>
  <si>
    <t>8/9/21 GURI +sito +TG; 9/9 Oss; 10/9 n.2quot</t>
  </si>
  <si>
    <t>11/10/21 h12.00</t>
  </si>
  <si>
    <t>17.2.23 ATTO SOTTOMISSIONE compensazione prezzi DL.50.2022 (SAL1 lavori 2022)</t>
  </si>
  <si>
    <t>26.4.23 ATTO SOTTOMISSIONE compensazione prezzi DL.50.2022 (SAL2 lavori 2022)</t>
  </si>
  <si>
    <t>22.11.23 ATTO SOTTOMISSIONE compensazione prezzi DL.50.2022 (SAL3 lavori 2023)</t>
  </si>
  <si>
    <t>22.12.23 ATTO SOTTOMISSIONE n.2</t>
  </si>
  <si>
    <t>17.01.24 ATTO SOTTOMISSIONE compensazione prezzi DL.50.2022 (SAL5 lavori 2023)</t>
  </si>
  <si>
    <r>
      <t xml:space="preserve">Potenziamento del sistema acquedottistico di </t>
    </r>
    <r>
      <rPr>
        <b/>
        <sz val="8"/>
        <rFont val="Arial"/>
        <family val="2"/>
      </rPr>
      <t>Cilavegna</t>
    </r>
    <r>
      <rPr>
        <sz val="8"/>
        <rFont val="Arial"/>
        <family val="2"/>
      </rPr>
      <t xml:space="preserve"> e comuni limitrofi. Realizzazione centrale di potabilizzazione di </t>
    </r>
    <r>
      <rPr>
        <b/>
        <sz val="8"/>
        <rFont val="Arial"/>
        <family val="2"/>
      </rPr>
      <t>Via Riseria</t>
    </r>
    <r>
      <rPr>
        <sz val="8"/>
        <rFont val="Arial"/>
        <family val="2"/>
      </rPr>
      <t>.</t>
    </r>
  </si>
  <si>
    <t>22/10/21 GURI +sito +TG; 25/10 Oss; 26/10 n.2quot</t>
  </si>
  <si>
    <t>22/11/21 h 12.00; proroga 6/12 h 12,00</t>
  </si>
  <si>
    <t>24/5/22</t>
  </si>
  <si>
    <t>18.9.23 ATTO SOTTOMISSIONE compensazione prezzi DL.50.2022 (90% dei lavori 2023)</t>
  </si>
  <si>
    <t>30.5.25 ATTO SOTTOMISSIONE compensazione prezzi DL.50.2022 (80% dei lavori 2025)</t>
  </si>
  <si>
    <r>
      <t xml:space="preserve">Realizzazione interventi di riqualificazione e potenziamento delle dorsali fognarie ed </t>
    </r>
    <r>
      <rPr>
        <b/>
        <sz val="8"/>
        <rFont val="Arial"/>
        <family val="2"/>
      </rPr>
      <t>acquedottistiche</t>
    </r>
    <r>
      <rPr>
        <sz val="8"/>
        <rFont val="Arial"/>
        <family val="2"/>
      </rPr>
      <t xml:space="preserve"> a servizio dell'agglomerato di </t>
    </r>
    <r>
      <rPr>
        <b/>
        <sz val="8"/>
        <rFont val="Arial"/>
        <family val="2"/>
      </rPr>
      <t>Gambolò</t>
    </r>
    <r>
      <rPr>
        <sz val="8"/>
        <rFont val="Arial"/>
        <family val="2"/>
      </rPr>
      <t xml:space="preserve"> capoluogo </t>
    </r>
    <r>
      <rPr>
        <b/>
        <sz val="8"/>
        <rFont val="Arial"/>
        <family val="2"/>
      </rPr>
      <t>Via Rovelleto e Via Gruvala</t>
    </r>
  </si>
  <si>
    <t>19/11/21 GURI +sito +TG; 19/11 Oss; 21-22/11 n.2quot</t>
  </si>
  <si>
    <t>17/12/21 h 12.00</t>
  </si>
  <si>
    <r>
      <t>VI.COS.VIGEVANO COSTRUZIONI SRL</t>
    </r>
    <r>
      <rPr>
        <sz val="8"/>
        <rFont val="Arial"/>
        <family val="2"/>
      </rPr>
      <t xml:space="preserve"> (Vigevano PV)</t>
    </r>
  </si>
  <si>
    <t>13/05/22 US</t>
  </si>
  <si>
    <t>PARZIALE 27/6/22; 17/10/22</t>
  </si>
  <si>
    <t>31.03.23 atto sottomiss DL 17.5.22 n. 50 art. 26 stato avanz straord n. 1</t>
  </si>
  <si>
    <t>23.08.23 atto sottomiss DL 17.5.22 n. 50 art. 26 stato avanz straord n. 2</t>
  </si>
  <si>
    <t>27.08.23</t>
  </si>
  <si>
    <t>15.01.24 atto sottomiss DL 17.5.22 n. 50 art. 26 stato avanz straord n. 3</t>
  </si>
  <si>
    <r>
      <t xml:space="preserve">Adeguamento degli schemi depurativi a servizio degli Agglomerati a nord della città di Pavia - Revisione, adeguamento e potenziamento delle reti </t>
    </r>
    <r>
      <rPr>
        <b/>
        <sz val="8"/>
        <rFont val="Arial"/>
        <family val="2"/>
      </rPr>
      <t>fognarie</t>
    </r>
    <r>
      <rPr>
        <sz val="8"/>
        <rFont val="Arial"/>
        <family val="2"/>
      </rPr>
      <t xml:space="preserve"> e dei sistemi di collettamento, con eliminazione terminali non trattati e opere connesse. Rinnovazione dorsali fognarie </t>
    </r>
    <r>
      <rPr>
        <b/>
        <sz val="8"/>
        <rFont val="Arial"/>
        <family val="2"/>
      </rPr>
      <t>Certosa</t>
    </r>
    <r>
      <rPr>
        <sz val="8"/>
        <rFont val="Arial"/>
        <family val="2"/>
      </rPr>
      <t xml:space="preserve"> di Pavia capoluogo.</t>
    </r>
  </si>
  <si>
    <r>
      <t>ID 318 -</t>
    </r>
    <r>
      <rPr>
        <sz val="6"/>
        <rFont val="Arial"/>
        <family val="2"/>
      </rPr>
      <t xml:space="preserve"> I3180002</t>
    </r>
  </si>
  <si>
    <t>28/01/22 h 12.00</t>
  </si>
  <si>
    <r>
      <t>Giulia Appalti Srl</t>
    </r>
    <r>
      <rPr>
        <sz val="8"/>
        <rFont val="Arial"/>
        <family val="2"/>
      </rPr>
      <t xml:space="preserve"> (Agropoli SA)</t>
    </r>
  </si>
  <si>
    <t>11/11/22 iniz: 15/11/22</t>
  </si>
  <si>
    <t>30.01.2023 - Atto sottomiss e concord nuovi prezzi</t>
  </si>
  <si>
    <t>06.10.2023 - Atto sottomiss e concord nuovi prezzi</t>
  </si>
  <si>
    <t>30.08.2023 - Atto sottomiss ai sensi DL 50/2022 relativo ai SAL 1 e 2</t>
  </si>
  <si>
    <t>10.10.2023 - Atto sottomiss ai sensi DL 50/2022 fino alle lavorazioni svolte al SAL 3</t>
  </si>
  <si>
    <t>12.02.2024 - Atto sottomiss e concord nuovi prezzi</t>
  </si>
  <si>
    <t>13.02.2024 - Atto sottomiss ai sensi DL 50/2022</t>
  </si>
  <si>
    <r>
      <rPr>
        <b/>
        <sz val="8"/>
        <rFont val="Arial"/>
        <family val="2"/>
      </rPr>
      <t>Collettamento</t>
    </r>
    <r>
      <rPr>
        <sz val="8"/>
        <rFont val="Arial"/>
        <family val="2"/>
      </rPr>
      <t xml:space="preserve"> al </t>
    </r>
    <r>
      <rPr>
        <b/>
        <sz val="8"/>
        <rFont val="Arial"/>
        <family val="2"/>
      </rPr>
      <t>depuratore</t>
    </r>
    <r>
      <rPr>
        <sz val="8"/>
        <rFont val="Arial"/>
        <family val="2"/>
      </rPr>
      <t xml:space="preserve"> di </t>
    </r>
    <r>
      <rPr>
        <b/>
        <sz val="8"/>
        <rFont val="Arial"/>
        <family val="2"/>
      </rPr>
      <t>Torrevecchia Pia - Vigonzone</t>
    </r>
    <r>
      <rPr>
        <sz val="8"/>
        <rFont val="Arial"/>
        <family val="2"/>
      </rPr>
      <t>, previo suo adeguamento, dei reflui urbani degli agglomerati AG01816001 (Torrevecchia Pia), AG01816003 (Torrevecchia Pia - Zibido al Lambro) e AG01816004 (Torrevecchia Pia - Cascina Bianca).</t>
    </r>
  </si>
  <si>
    <t>28/01/22 GURI +sito +TG; 31/1 Oss; 30-31/1 n.2quot</t>
  </si>
  <si>
    <t>28/02/22 h 12.00</t>
  </si>
  <si>
    <r>
      <rPr>
        <b/>
        <sz val="8"/>
        <rFont val="Arial"/>
        <family val="2"/>
      </rPr>
      <t xml:space="preserve">Impresa Edile Stradale Artifoni SpA </t>
    </r>
    <r>
      <rPr>
        <sz val="8"/>
        <rFont val="Arial"/>
        <family val="2"/>
      </rPr>
      <t>(Albano Sant’Alessandro BG)</t>
    </r>
  </si>
  <si>
    <t>13/12/22  US</t>
  </si>
  <si>
    <r>
      <t xml:space="preserve">Collettamento al depuratore di Villanterio dei reflui urbani degli Agglomerati AG01808703 (Marzano), AG01808702 (Marzano - Castel Lambro), AG01808701 (Marzano - Spirago), AG01815702 (Torre d'Arese), AG01815701 (Torre d'Arese - Torre d'Arese ovest), AG01815703 (Torre d'Arese - Cascina Maggiore) e AG01818002 (Villanterio - Bolognola). </t>
    </r>
    <r>
      <rPr>
        <b/>
        <sz val="8"/>
        <rFont val="Arial"/>
        <family val="2"/>
      </rPr>
      <t>Collettamento</t>
    </r>
    <r>
      <rPr>
        <sz val="8"/>
        <rFont val="Arial"/>
        <family val="2"/>
      </rPr>
      <t xml:space="preserve"> reflui località </t>
    </r>
    <r>
      <rPr>
        <b/>
        <sz val="8"/>
        <rFont val="Arial"/>
        <family val="2"/>
      </rPr>
      <t>Bolognola di Villanterio</t>
    </r>
    <r>
      <rPr>
        <sz val="8"/>
        <rFont val="Arial"/>
        <family val="2"/>
      </rPr>
      <t>.</t>
    </r>
  </si>
  <si>
    <t>31/01/22 GURI + 2/2 sito +TG + Oss; 4/2 n.2quot</t>
  </si>
  <si>
    <t>7/03/22 h 12.00</t>
  </si>
  <si>
    <r>
      <t>D.H.D. Srl</t>
    </r>
    <r>
      <rPr>
        <sz val="8"/>
        <rFont val="Arial"/>
        <family val="2"/>
      </rPr>
      <t xml:space="preserve"> (Lombardore TO)</t>
    </r>
    <r>
      <rPr>
        <b/>
        <sz val="8"/>
        <rFont val="Arial"/>
        <family val="2"/>
      </rPr>
      <t>; Cooptata: SAVIATESTA SRL</t>
    </r>
    <r>
      <rPr>
        <sz val="8"/>
        <rFont val="Arial"/>
        <family val="2"/>
      </rPr>
      <t xml:space="preserve"> di Goito (MN)</t>
    </r>
  </si>
  <si>
    <t>02/08/22 US</t>
  </si>
  <si>
    <t>02/08/23, def 28/08/23</t>
  </si>
  <si>
    <t>31.12.24 atto sottomissione</t>
  </si>
  <si>
    <r>
      <t xml:space="preserve">Interventi di sostituzione/adeguamento delle condotte in cemento amianto. Comune di </t>
    </r>
    <r>
      <rPr>
        <b/>
        <sz val="8"/>
        <rFont val="Arial"/>
        <family val="2"/>
      </rPr>
      <t>Pavia</t>
    </r>
    <r>
      <rPr>
        <sz val="8"/>
        <rFont val="Arial"/>
        <family val="2"/>
      </rPr>
      <t xml:space="preserve"> - Realizzazione interventi di riqualificazione con tecniche a basso impatto ambientale delle condotte fognarie in pressione a servizio delle stazioni di sollevamento di Via </t>
    </r>
    <r>
      <rPr>
        <b/>
        <sz val="8"/>
        <rFont val="Arial"/>
        <family val="2"/>
      </rPr>
      <t>Torretta</t>
    </r>
    <r>
      <rPr>
        <sz val="8"/>
        <rFont val="Arial"/>
        <family val="2"/>
      </rPr>
      <t>, Via Ferrini, Via Francana e Via San Pietro in Verzolo.</t>
    </r>
  </si>
  <si>
    <t>P.N. 4/2/22 (n.11 os35)</t>
  </si>
  <si>
    <t>22/02/22 h 12.00</t>
  </si>
  <si>
    <r>
      <t xml:space="preserve">IN.TE.CO. SRL </t>
    </r>
    <r>
      <rPr>
        <sz val="8"/>
        <rFont val="Arial"/>
        <family val="2"/>
      </rPr>
      <t>(Cambiago MI)</t>
    </r>
  </si>
  <si>
    <t>20/05/22 iniz: 24/05/22</t>
  </si>
  <si>
    <r>
      <t xml:space="preserve">Adeguamento funzionale del sistema di approvvigionamento, trattamento e distribuzione delle reti acquedottistiche a servizio della pianura oltrepadana occidentale. Comune di </t>
    </r>
    <r>
      <rPr>
        <b/>
        <sz val="8"/>
        <rFont val="Arial"/>
        <family val="2"/>
      </rPr>
      <t>Verretto</t>
    </r>
    <r>
      <rPr>
        <sz val="8"/>
        <rFont val="Arial"/>
        <family val="2"/>
      </rPr>
      <t xml:space="preserve"> - </t>
    </r>
    <r>
      <rPr>
        <b/>
        <sz val="8"/>
        <rFont val="Arial"/>
        <family val="2"/>
      </rPr>
      <t>Trivellazione</t>
    </r>
    <r>
      <rPr>
        <sz val="8"/>
        <rFont val="Arial"/>
        <family val="2"/>
      </rPr>
      <t xml:space="preserve"> di nuovo pozzo in località Lottona e realizzazione opere accessorie.</t>
    </r>
  </si>
  <si>
    <t>P.N. 11/2/22 (ns albo n.9)</t>
  </si>
  <si>
    <t>01/03/22 h12.00</t>
  </si>
  <si>
    <r>
      <t xml:space="preserve">I.P.T.A. DI VASSALLI S.R.L. </t>
    </r>
    <r>
      <rPr>
        <sz val="8"/>
        <rFont val="Arial"/>
        <family val="2"/>
      </rPr>
      <t>(Torbole Casaglia BS)</t>
    </r>
  </si>
  <si>
    <r>
      <t xml:space="preserve">Adeguamento funzionale del sistema di approvvigionamento e distribuzione idrica di Rea, Verrua Po, Mezzanino, Bressana Bottarone e Pinarolo Po e relative interconnessioni - Realizzazione nuova </t>
    </r>
    <r>
      <rPr>
        <b/>
        <sz val="8"/>
        <rFont val="Arial"/>
        <family val="2"/>
      </rPr>
      <t>centrale</t>
    </r>
    <r>
      <rPr>
        <sz val="8"/>
        <rFont val="Arial"/>
        <family val="2"/>
      </rPr>
      <t xml:space="preserve"> di potabilizzazione in </t>
    </r>
    <r>
      <rPr>
        <b/>
        <sz val="8"/>
        <rFont val="Arial"/>
        <family val="2"/>
      </rPr>
      <t>Verrua Po</t>
    </r>
    <r>
      <rPr>
        <sz val="8"/>
        <rFont val="Arial"/>
        <family val="2"/>
      </rPr>
      <t>.</t>
    </r>
  </si>
  <si>
    <t>23/02/22 GURI +sito +TG; 24/2 Oss; 26/2 n.2quot</t>
  </si>
  <si>
    <t>28/03/22 h12.00</t>
  </si>
  <si>
    <r>
      <t xml:space="preserve">Bioteam S.r.l. </t>
    </r>
    <r>
      <rPr>
        <sz val="8"/>
        <rFont val="Arial"/>
        <family val="2"/>
      </rPr>
      <t>(San Zeno Naviglio BS)</t>
    </r>
  </si>
  <si>
    <r>
      <t xml:space="preserve">Realizzazione interventi di riqualificazione e potenziamento delle dorsali </t>
    </r>
    <r>
      <rPr>
        <b/>
        <sz val="8"/>
        <rFont val="Arial"/>
        <family val="2"/>
      </rPr>
      <t>fognarie</t>
    </r>
    <r>
      <rPr>
        <sz val="8"/>
        <rFont val="Arial"/>
        <family val="2"/>
      </rPr>
      <t xml:space="preserve"> ed </t>
    </r>
    <r>
      <rPr>
        <b/>
        <sz val="8"/>
        <rFont val="Arial"/>
        <family val="2"/>
      </rPr>
      <t>acquedottistiche</t>
    </r>
    <r>
      <rPr>
        <sz val="8"/>
        <rFont val="Arial"/>
        <family val="2"/>
      </rPr>
      <t xml:space="preserve"> a servizio dell'agglomerato di </t>
    </r>
    <r>
      <rPr>
        <b/>
        <sz val="8"/>
        <rFont val="Arial"/>
        <family val="2"/>
      </rPr>
      <t>Santa Cristina</t>
    </r>
    <r>
      <rPr>
        <sz val="8"/>
        <rFont val="Arial"/>
        <family val="2"/>
      </rPr>
      <t xml:space="preserve"> e Bissone capoluogo Via Dante, Via Italia, Via Cremona e Via Europa.</t>
    </r>
  </si>
  <si>
    <t>25/02/22 GURI +sito +TG; 25/2 Oss; 28/2 n.2quot</t>
  </si>
  <si>
    <t>29/03/22 h12.00</t>
  </si>
  <si>
    <r>
      <t>Cerutti Costruzioni Srl</t>
    </r>
    <r>
      <rPr>
        <sz val="8"/>
        <rFont val="Arial"/>
        <family val="2"/>
      </rPr>
      <t xml:space="preserve"> (Montecalvo Versiggia PV)</t>
    </r>
  </si>
  <si>
    <t>26/07/22 (unica offerta, no stand still)</t>
  </si>
  <si>
    <t>01.08.23 ATTO SOTTOMISSIONE compensazione prezzi DL.50.2022 (lavori 1'sem.23)</t>
  </si>
  <si>
    <t>14/03/22 GURI +sito +TG; 14/3 Oss; 17/3 n.2quot</t>
  </si>
  <si>
    <t>14/04/22 h12.00</t>
  </si>
  <si>
    <t xml:space="preserve">26.06.23 Compensaz.1 DL50/2022 (lav.2023) </t>
  </si>
  <si>
    <t xml:space="preserve">28.07.23 Compensaz.2 DL50/2022 (lav.2023) </t>
  </si>
  <si>
    <t xml:space="preserve">13.10.23 Compensaz.3 DL50/2022 (lav.2023) </t>
  </si>
  <si>
    <t>27.11.23 Compensaz.4 DL50/2022 (lav.2023) NON CARICATO IN NETA</t>
  </si>
  <si>
    <t>14.06.24 Compensaz.5 DL50/2022 (lav.2023-2024)</t>
  </si>
  <si>
    <t>30.08.24 Compensaz.6 DL50/2022 (lav.2023-2024)</t>
  </si>
  <si>
    <r>
      <t xml:space="preserve">Adeguamento, rinnovazione e potenziamento delle infrastrutture di approvvigionamento, trattamento e distribuzione idrica. Comune di </t>
    </r>
    <r>
      <rPr>
        <b/>
        <sz val="8"/>
        <rFont val="Arial"/>
        <family val="2"/>
      </rPr>
      <t>Miradolo Terme</t>
    </r>
    <r>
      <rPr>
        <sz val="8"/>
        <rFont val="Arial"/>
        <family val="2"/>
      </rPr>
      <t xml:space="preserve">. Terebrazione nuovo </t>
    </r>
    <r>
      <rPr>
        <b/>
        <sz val="8"/>
        <rFont val="Arial"/>
        <family val="2"/>
      </rPr>
      <t>pozzo</t>
    </r>
    <r>
      <rPr>
        <sz val="8"/>
        <rFont val="Arial"/>
        <family val="2"/>
      </rPr>
      <t xml:space="preserve"> a servizio della centrale di potabilizzazione di </t>
    </r>
    <r>
      <rPr>
        <b/>
        <sz val="8"/>
        <rFont val="Arial"/>
        <family val="2"/>
      </rPr>
      <t>Via San Marco</t>
    </r>
    <r>
      <rPr>
        <sz val="8"/>
        <rFont val="Arial"/>
        <family val="2"/>
      </rPr>
      <t>.</t>
    </r>
  </si>
  <si>
    <t>P.N. 14/3/22 (ns albo n.9)</t>
  </si>
  <si>
    <t>31/03/22 h12.00</t>
  </si>
  <si>
    <r>
      <t xml:space="preserve">BOTTI ELIO SRL </t>
    </r>
    <r>
      <rPr>
        <sz val="8"/>
        <rFont val="Arial"/>
        <family val="2"/>
      </rPr>
      <t>(Adria RO)</t>
    </r>
  </si>
  <si>
    <t>28.7.23 Compensaz. DL50/2022 (lav.2023) NON CARICATO IN NETA</t>
  </si>
  <si>
    <r>
      <t xml:space="preserve">Fornitura, montaggio e messa in servizio di una </t>
    </r>
    <r>
      <rPr>
        <b/>
        <sz val="8"/>
        <rFont val="Arial"/>
        <family val="2"/>
      </rPr>
      <t>pressococlea</t>
    </r>
    <r>
      <rPr>
        <sz val="8"/>
        <rFont val="Arial"/>
        <family val="2"/>
      </rPr>
      <t xml:space="preserve"> per la disidratazione dei fanghi biologici presso il depuratore di </t>
    </r>
    <r>
      <rPr>
        <b/>
        <sz val="8"/>
        <rFont val="Arial"/>
        <family val="2"/>
      </rPr>
      <t>Villanterio</t>
    </r>
    <r>
      <rPr>
        <sz val="8"/>
        <rFont val="Arial"/>
        <family val="2"/>
      </rPr>
      <t xml:space="preserve"> (PV).</t>
    </r>
  </si>
  <si>
    <r>
      <t xml:space="preserve">Fornitura in opera di impianti di </t>
    </r>
    <r>
      <rPr>
        <b/>
        <sz val="8"/>
        <rFont val="Arial"/>
        <family val="2"/>
      </rPr>
      <t>trattamento bottini</t>
    </r>
    <r>
      <rPr>
        <sz val="8"/>
        <rFont val="Arial"/>
        <family val="2"/>
      </rPr>
      <t xml:space="preserve"> e fanghi presso il depuratore di </t>
    </r>
    <r>
      <rPr>
        <b/>
        <sz val="8"/>
        <rFont val="Arial"/>
        <family val="2"/>
      </rPr>
      <t>Stradella</t>
    </r>
    <r>
      <rPr>
        <sz val="8"/>
        <rFont val="Arial"/>
        <family val="2"/>
      </rPr>
      <t xml:space="preserve"> (PV).</t>
    </r>
  </si>
  <si>
    <t>9/5/22 GURI +  sito + TG + Oss</t>
  </si>
  <si>
    <t>30/05/22 h12.00</t>
  </si>
  <si>
    <r>
      <t>Huber Technology Srl</t>
    </r>
    <r>
      <rPr>
        <sz val="8"/>
        <rFont val="Arial"/>
        <family val="2"/>
      </rPr>
      <t xml:space="preserve"> (Laives BZ)</t>
    </r>
  </si>
  <si>
    <t>21/07/22 (unica offerta, no stand still)</t>
  </si>
  <si>
    <t>21/09/22 US</t>
  </si>
  <si>
    <r>
      <t xml:space="preserve">Interventi di manutenzione straordinaria e programmata impianti. Comune di </t>
    </r>
    <r>
      <rPr>
        <b/>
        <sz val="8"/>
        <rFont val="Arial"/>
        <family val="2"/>
      </rPr>
      <t>Olevano</t>
    </r>
    <r>
      <rPr>
        <sz val="8"/>
        <rFont val="Arial"/>
        <family val="2"/>
      </rPr>
      <t xml:space="preserve"> di Lomellina. Interventi di manutenzione straordinaria con riperforazione del </t>
    </r>
    <r>
      <rPr>
        <b/>
        <sz val="8"/>
        <rFont val="Arial"/>
        <family val="2"/>
      </rPr>
      <t>pozzo</t>
    </r>
    <r>
      <rPr>
        <sz val="8"/>
        <rFont val="Arial"/>
        <family val="2"/>
      </rPr>
      <t xml:space="preserve"> a servizio centrale di potabilizzazione</t>
    </r>
  </si>
  <si>
    <t>P.N. 13/5/22 (ns albo n.9)</t>
  </si>
  <si>
    <t>06/06/22 h12.00</t>
  </si>
  <si>
    <r>
      <t>NEGRETTI S.R.L.</t>
    </r>
    <r>
      <rPr>
        <sz val="8"/>
        <rFont val="Arial"/>
        <family val="2"/>
      </rPr>
      <t xml:space="preserve"> (Corteolona e Genzone PV)</t>
    </r>
  </si>
  <si>
    <t>24/06/22 US</t>
  </si>
  <si>
    <t>24/3/23: inizio 27/3/23</t>
  </si>
  <si>
    <t>18.04.23 - Atto sottomissione D.L. 50/2022 su lavori svolti nel 2023</t>
  </si>
  <si>
    <r>
      <t xml:space="preserve">Realizzazione interventi di riqualificazione con tecniche a basso impatto ambientale della condotta fognaria in pressione a servizio della stazione di sollevamento S12 di </t>
    </r>
    <r>
      <rPr>
        <b/>
        <sz val="8"/>
        <rFont val="Arial"/>
        <family val="2"/>
      </rPr>
      <t>Via San Paolo in Pavia</t>
    </r>
    <r>
      <rPr>
        <sz val="8"/>
        <rFont val="Arial"/>
        <family val="2"/>
      </rPr>
      <t>.</t>
    </r>
  </si>
  <si>
    <t>P.N. 24/5/22 (n.12 os35)</t>
  </si>
  <si>
    <t>14/06/22 h 12.00</t>
  </si>
  <si>
    <r>
      <t xml:space="preserve">Danphix S.p.A </t>
    </r>
    <r>
      <rPr>
        <sz val="8"/>
        <rFont val="Arial"/>
        <family val="2"/>
      </rPr>
      <t>(Reggio Emilia)</t>
    </r>
  </si>
  <si>
    <t>11/07/22 US</t>
  </si>
  <si>
    <t>17/4/23: inizio 26/4/23</t>
  </si>
  <si>
    <r>
      <t xml:space="preserve">Sistema diffuso di distribuzione di acqua potabile per il ristoro dei frequentatori della via </t>
    </r>
    <r>
      <rPr>
        <b/>
        <sz val="8"/>
        <rFont val="Arial"/>
        <family val="2"/>
      </rPr>
      <t>Francigena</t>
    </r>
    <r>
      <rPr>
        <sz val="8"/>
        <rFont val="Arial"/>
        <family val="2"/>
      </rPr>
      <t>.</t>
    </r>
  </si>
  <si>
    <t>no invest, costi riaddeb a Prov</t>
  </si>
  <si>
    <t>P.N. 21/6/22 (n.15 estratti albo pva)</t>
  </si>
  <si>
    <t>11/07/22 h 12.00</t>
  </si>
  <si>
    <r>
      <t xml:space="preserve">FRANCHI COSTRUZIONI EDILI SRL </t>
    </r>
    <r>
      <rPr>
        <sz val="8"/>
        <rFont val="Arial"/>
        <family val="2"/>
      </rPr>
      <t xml:space="preserve">(Sannazzaro d.B. PV) 70% </t>
    </r>
    <r>
      <rPr>
        <b/>
        <sz val="8"/>
        <rFont val="Arial"/>
        <family val="2"/>
      </rPr>
      <t xml:space="preserve">rti con S.M.E.I. SRL </t>
    </r>
    <r>
      <rPr>
        <sz val="8"/>
        <rFont val="Arial"/>
        <family val="2"/>
      </rPr>
      <t>(Milano)</t>
    </r>
    <r>
      <rPr>
        <b/>
        <sz val="8"/>
        <rFont val="Arial"/>
        <family val="2"/>
      </rPr>
      <t xml:space="preserve"> 30</t>
    </r>
    <r>
      <rPr>
        <sz val="8"/>
        <rFont val="Arial"/>
        <family val="2"/>
      </rPr>
      <t>%</t>
    </r>
  </si>
  <si>
    <t>8/09/22 US</t>
  </si>
  <si>
    <t>18/10/22 iniz: 20/10/22</t>
  </si>
  <si>
    <r>
      <t xml:space="preserve">Interventi di manutenzione straordinaria sui </t>
    </r>
    <r>
      <rPr>
        <b/>
        <sz val="8"/>
        <rFont val="Arial"/>
        <family val="2"/>
      </rPr>
      <t>pozzi</t>
    </r>
    <r>
      <rPr>
        <sz val="8"/>
        <rFont val="Arial"/>
        <family val="2"/>
      </rPr>
      <t xml:space="preserve">. </t>
    </r>
    <r>
      <rPr>
        <b/>
        <sz val="8"/>
        <rFont val="Arial"/>
        <family val="2"/>
      </rPr>
      <t>Accordo quadro</t>
    </r>
    <r>
      <rPr>
        <sz val="8"/>
        <rFont val="Arial"/>
        <family val="2"/>
      </rPr>
      <t xml:space="preserve"> 2022 - 2023</t>
    </r>
  </si>
  <si>
    <t>P.N. 1/7/22 (ns albo n.9)</t>
  </si>
  <si>
    <t>25/07/22 h 12.00</t>
  </si>
  <si>
    <t>28/11/22 US</t>
  </si>
  <si>
    <t>18m+6m</t>
  </si>
  <si>
    <t>30.06.23 - Atto sottomissione D.L. 50/2022 su lavori svolti su SAL 1: 1844,9</t>
  </si>
  <si>
    <t>25.09.23 - Atto sottomissione D.L. 50/2022 su lavori svolti su SAL 2: 1939,19</t>
  </si>
  <si>
    <t>27.03.24 - Atto sottomissione D.L. 50/2022 su lavori svolti anni23-24 su SAL 3: 1406,37</t>
  </si>
  <si>
    <t>3.09.24 - Atto sottomissione al CRE</t>
  </si>
  <si>
    <r>
      <t xml:space="preserve">Adeguamento, rinnovazione e potenziamento delle infrastrutture di approvvigionamento idrico. Comune di </t>
    </r>
    <r>
      <rPr>
        <b/>
        <sz val="8"/>
        <rFont val="Arial"/>
        <family val="2"/>
      </rPr>
      <t>Borgarello</t>
    </r>
    <r>
      <rPr>
        <sz val="8"/>
        <rFont val="Arial"/>
        <family val="2"/>
      </rPr>
      <t xml:space="preserve">. Rifacimento </t>
    </r>
    <r>
      <rPr>
        <b/>
        <sz val="8"/>
        <rFont val="Arial"/>
        <family val="2"/>
      </rPr>
      <t>centrale</t>
    </r>
    <r>
      <rPr>
        <sz val="8"/>
        <rFont val="Arial"/>
        <family val="2"/>
      </rPr>
      <t xml:space="preserve"> di potabilizzazione di </t>
    </r>
    <r>
      <rPr>
        <b/>
        <sz val="8"/>
        <rFont val="Arial"/>
        <family val="2"/>
      </rPr>
      <t>Via Libertà</t>
    </r>
    <r>
      <rPr>
        <sz val="8"/>
        <rFont val="Arial"/>
        <family val="2"/>
      </rPr>
      <t>.</t>
    </r>
  </si>
  <si>
    <t>P.N. 4/7/22 (n.7 ALBO)</t>
  </si>
  <si>
    <r>
      <t xml:space="preserve">G.I.E. SRL </t>
    </r>
    <r>
      <rPr>
        <sz val="8"/>
        <rFont val="Arial"/>
        <family val="2"/>
      </rPr>
      <t>(Moncalieri - TO)</t>
    </r>
  </si>
  <si>
    <t>30/11/22 parziale; def 20/11/23</t>
  </si>
  <si>
    <t>05/12: iniz 11/12/23</t>
  </si>
  <si>
    <t>17.5.24 atto di sottomissione DL 50/2022 rev prezzi (su lav 2023e24, 80%)</t>
  </si>
  <si>
    <t>11.10.24 atto di sottomissione DL 50/2022 rev prezzi (su lav 2023e24, 80%)</t>
  </si>
  <si>
    <t>27/9/22 GUCE + 26/9/22 GURI +TG+ sito; 27/9 Oss; 30/9 n.4quot</t>
  </si>
  <si>
    <r>
      <rPr>
        <sz val="8"/>
        <rFont val="Arial"/>
        <family val="2"/>
      </rPr>
      <t xml:space="preserve">26/10/22; </t>
    </r>
    <r>
      <rPr>
        <b/>
        <sz val="8"/>
        <rFont val="Arial"/>
        <family val="2"/>
      </rPr>
      <t>prorogato al 15.11</t>
    </r>
  </si>
  <si>
    <r>
      <t xml:space="preserve">MADDALENA SPA </t>
    </r>
    <r>
      <rPr>
        <sz val="8"/>
        <rFont val="Arial"/>
        <family val="2"/>
      </rPr>
      <t>(Povoletto UD)</t>
    </r>
  </si>
  <si>
    <t>20,559% + 11,334%</t>
  </si>
  <si>
    <t>03/02/23 US</t>
  </si>
  <si>
    <t>48 mesi (+12)</t>
  </si>
  <si>
    <t>21/12/22 GURI+sito; 20/12 TG; 28/12 Oss; 22e23/12 n.2quot</t>
  </si>
  <si>
    <t>02/02/23 h12</t>
  </si>
  <si>
    <r>
      <t xml:space="preserve">Eprom Srl </t>
    </r>
    <r>
      <rPr>
        <sz val="8"/>
        <rFont val="Arial"/>
        <family val="2"/>
      </rPr>
      <t>(San Giovanni Teatino - CH)</t>
    </r>
  </si>
  <si>
    <t>14 mesi (+12)</t>
  </si>
  <si>
    <t>13.6.24 atto sottomissione per Quinto d'obbligo (nuova fine al 30.9.24)</t>
  </si>
  <si>
    <t>10.3.25 atto sottomissione per chiusura lavori (in eccedenza rispetto al contratto)</t>
  </si>
  <si>
    <r>
      <t xml:space="preserve">Consorzio Servizi Qualificati </t>
    </r>
    <r>
      <rPr>
        <sz val="8"/>
        <rFont val="Arial"/>
        <family val="2"/>
      </rPr>
      <t>(Genova)</t>
    </r>
  </si>
  <si>
    <t>12/05/23 US</t>
  </si>
  <si>
    <r>
      <t xml:space="preserve">Adeguamento dello schema depurativo e delle reti di fognatura degli Agglomerati Casorate Primo e Trovo. Interventi di riduzione delle portate </t>
    </r>
    <r>
      <rPr>
        <b/>
        <sz val="8"/>
        <rFont val="Arial"/>
        <family val="2"/>
      </rPr>
      <t>parassite</t>
    </r>
    <r>
      <rPr>
        <sz val="8"/>
        <rFont val="Arial"/>
        <family val="2"/>
      </rPr>
      <t xml:space="preserve"> in rete fognaria comunale </t>
    </r>
    <r>
      <rPr>
        <b/>
        <sz val="8"/>
        <rFont val="Arial"/>
        <family val="2"/>
      </rPr>
      <t>Casorate Primo</t>
    </r>
    <r>
      <rPr>
        <sz val="8"/>
        <rFont val="Arial"/>
        <family val="2"/>
      </rPr>
      <t>.</t>
    </r>
  </si>
  <si>
    <t>302</t>
  </si>
  <si>
    <t>P.N. 10/1/23 (n.15 estratti albo pva)</t>
  </si>
  <si>
    <t>26/01/23 h12</t>
  </si>
  <si>
    <r>
      <t xml:space="preserve">Cantieri Moderni Srl </t>
    </r>
    <r>
      <rPr>
        <sz val="8"/>
        <rFont val="Arial"/>
        <family val="2"/>
      </rPr>
      <t>(Pinerolo - TO)</t>
    </r>
  </si>
  <si>
    <t>27/02/23 US</t>
  </si>
  <si>
    <r>
      <t xml:space="preserve">Interventi di modifica dell'impianto di </t>
    </r>
    <r>
      <rPr>
        <b/>
        <sz val="8"/>
        <rFont val="Arial"/>
        <family val="2"/>
      </rPr>
      <t>depurazione di Cava Manara</t>
    </r>
    <r>
      <rPr>
        <sz val="8"/>
        <rFont val="Arial"/>
        <family val="2"/>
      </rPr>
      <t xml:space="preserve"> capoluogo.</t>
    </r>
  </si>
  <si>
    <t>13/01/23 GURI +sito +TG+Oss; 17/1 n.2quot</t>
  </si>
  <si>
    <t>13/02/23 h 12.00</t>
  </si>
  <si>
    <r>
      <t xml:space="preserve">G.I.E. SRL </t>
    </r>
    <r>
      <rPr>
        <sz val="8"/>
        <rFont val="Arial"/>
        <family val="2"/>
      </rPr>
      <t xml:space="preserve">(Moncalieri TO) 70% </t>
    </r>
    <r>
      <rPr>
        <b/>
        <sz val="8"/>
        <rFont val="Arial"/>
        <family val="2"/>
      </rPr>
      <t xml:space="preserve">rti SIDERIDRAULIC SYSTEM SPA </t>
    </r>
    <r>
      <rPr>
        <sz val="8"/>
        <rFont val="Arial"/>
        <family val="2"/>
      </rPr>
      <t>(Cellatica BS) 30%</t>
    </r>
  </si>
  <si>
    <t>23/6/23 iniz: 27/6/23</t>
  </si>
  <si>
    <t>28.08.23 atto sottomiss x variante</t>
  </si>
  <si>
    <t>17.12.24 atto sottomiss x comp prezzi</t>
  </si>
  <si>
    <r>
      <t xml:space="preserve">Adeguamento del sistema fognario e depurativo degli agglomerati AG01808601 (Marcignago), AG01808602 (Marcignago - Divisa) e AG01808603 (Marcignago - Divisa industriale). Interventi di modifica e potenziamento del </t>
    </r>
    <r>
      <rPr>
        <b/>
        <sz val="8"/>
        <rFont val="Arial"/>
        <family val="2"/>
      </rPr>
      <t>depuratore di Marcignago</t>
    </r>
    <r>
      <rPr>
        <sz val="8"/>
        <rFont val="Arial"/>
        <family val="2"/>
      </rPr>
      <t xml:space="preserve"> capoluogo.</t>
    </r>
  </si>
  <si>
    <t>18/01/23 sito+TG; 20/1 GURI+Oss; 21/1 n.2quot</t>
  </si>
  <si>
    <t>20/02/23 h 12.00</t>
  </si>
  <si>
    <r>
      <t xml:space="preserve">G.I.E. SRL </t>
    </r>
    <r>
      <rPr>
        <sz val="8"/>
        <rFont val="Arial"/>
        <family val="2"/>
      </rPr>
      <t xml:space="preserve">(Moncalieri TO) 72,51% </t>
    </r>
    <r>
      <rPr>
        <b/>
        <sz val="8"/>
        <rFont val="Arial"/>
        <family val="2"/>
      </rPr>
      <t xml:space="preserve">rti SIDERIDRAULIC SYSTEM SPA </t>
    </r>
    <r>
      <rPr>
        <sz val="8"/>
        <rFont val="Arial"/>
        <family val="2"/>
      </rPr>
      <t>(Cellatica BS) 27,49%</t>
    </r>
  </si>
  <si>
    <t>15/2/24: inizio 12/2/24</t>
  </si>
  <si>
    <r>
      <t xml:space="preserve">Adeguamento degli schemi depurativi a servizio degli Agglomerati a nord della città di Pavia - Revisione, adeguamento e potenziamento delle reti fognarie e dei sistemi di collettamento, con eliminazione terminali non trattati e opere connesse. Eliminazione di terminali non trattati nei Comuni di </t>
    </r>
    <r>
      <rPr>
        <b/>
        <sz val="8"/>
        <rFont val="Arial"/>
        <family val="2"/>
      </rPr>
      <t>Certosa</t>
    </r>
    <r>
      <rPr>
        <sz val="8"/>
        <rFont val="Arial"/>
        <family val="2"/>
      </rPr>
      <t xml:space="preserve"> di Pavia e </t>
    </r>
    <r>
      <rPr>
        <b/>
        <sz val="8"/>
        <rFont val="Arial"/>
        <family val="2"/>
      </rPr>
      <t>San Genesio</t>
    </r>
    <r>
      <rPr>
        <sz val="8"/>
        <rFont val="Arial"/>
        <family val="2"/>
      </rPr>
      <t xml:space="preserve"> ed Uniti (agglomerato AG01811001 - Pavia) - </t>
    </r>
    <r>
      <rPr>
        <u/>
        <sz val="8"/>
        <rFont val="Arial"/>
        <family val="2"/>
      </rPr>
      <t>adeguamento progetto esecutivo</t>
    </r>
  </si>
  <si>
    <t>318_4</t>
  </si>
  <si>
    <t>P.N. 16/1/23 (n.15 estratti albo pva)</t>
  </si>
  <si>
    <t>01/02/23 h12</t>
  </si>
  <si>
    <r>
      <t>Eurostrade Srl</t>
    </r>
    <r>
      <rPr>
        <sz val="8"/>
        <rFont val="Arial"/>
        <family val="2"/>
      </rPr>
      <t xml:space="preserve"> (</t>
    </r>
    <r>
      <rPr>
        <strike/>
        <sz val="8"/>
        <rFont val="Arial"/>
        <family val="2"/>
      </rPr>
      <t>Pavia</t>
    </r>
    <r>
      <rPr>
        <sz val="8"/>
        <rFont val="Arial"/>
        <family val="2"/>
      </rPr>
      <t xml:space="preserve"> Voghera PV)</t>
    </r>
  </si>
  <si>
    <t>16/5/23 iniz: 22/5/23</t>
  </si>
  <si>
    <t>27/1/23 GURI +  sito + TG + Oss</t>
  </si>
  <si>
    <t>28/02/23 h12.00</t>
  </si>
  <si>
    <r>
      <t xml:space="preserve">Adeguamento dello schema depurativo e delle reti di fognatura degli agglomerati AG01801402 (Bereguardo), AG01801401 (Bereguardo - Zelata) e AG01816301 (Trivolzio). Opere di potenziamento dell'impianto di </t>
    </r>
    <r>
      <rPr>
        <b/>
        <sz val="8"/>
        <rFont val="Arial"/>
        <family val="2"/>
      </rPr>
      <t>depurazione di Bereguardo</t>
    </r>
    <r>
      <rPr>
        <sz val="8"/>
        <rFont val="Arial"/>
        <family val="2"/>
      </rPr>
      <t xml:space="preserve"> (DP01801401)</t>
    </r>
  </si>
  <si>
    <t>301_3</t>
  </si>
  <si>
    <t>01/02/23 GURI + 2/2 sito +TG+Oss; 4/2 n.2quot</t>
  </si>
  <si>
    <r>
      <rPr>
        <b/>
        <strike/>
        <sz val="8"/>
        <rFont val="Arial"/>
        <family val="2"/>
      </rPr>
      <t>6/03/23 h 12.00</t>
    </r>
    <r>
      <rPr>
        <b/>
        <sz val="8"/>
        <rFont val="Arial"/>
        <family val="2"/>
      </rPr>
      <t>; prorogato al 13.3 h 12.00</t>
    </r>
  </si>
  <si>
    <r>
      <t xml:space="preserve">Bio System Company Srl </t>
    </r>
    <r>
      <rPr>
        <sz val="8"/>
        <rFont val="Arial"/>
        <family val="2"/>
      </rPr>
      <t>(Gravina in Puglia BA) 80%</t>
    </r>
    <r>
      <rPr>
        <b/>
        <sz val="8"/>
        <rFont val="Arial"/>
        <family val="2"/>
      </rPr>
      <t xml:space="preserve"> ATI con E.D.A. Technology Srl </t>
    </r>
    <r>
      <rPr>
        <sz val="8"/>
        <rFont val="Arial"/>
        <family val="2"/>
      </rPr>
      <t>(Lonate Ceppino VA) 20%</t>
    </r>
  </si>
  <si>
    <t>06.05.24 atto di sottomissione DL 50/2022 rev prezzi (80%)</t>
  </si>
  <si>
    <r>
      <t xml:space="preserve">Adeguamento del sistema di fognatura e trattamento degli Agglomerati AG01806902 (Garlasco) e AG01806101 (Dorno) in funzione della riduzione del carico recapitato al Torrente Terdoppio. Realizzazione collettore </t>
    </r>
    <r>
      <rPr>
        <b/>
        <sz val="8"/>
        <rFont val="Arial"/>
        <family val="2"/>
      </rPr>
      <t>fognario</t>
    </r>
    <r>
      <rPr>
        <sz val="8"/>
        <rFont val="Arial"/>
        <family val="2"/>
      </rPr>
      <t xml:space="preserve"> in pressione di collegamento </t>
    </r>
    <r>
      <rPr>
        <b/>
        <sz val="8"/>
        <rFont val="Arial"/>
        <family val="2"/>
      </rPr>
      <t>Dorno - Garlasco.</t>
    </r>
  </si>
  <si>
    <t>24/02/23 GURI +sito +TG+Oss; 24/2 n.2quot</t>
  </si>
  <si>
    <t>30/08/23 US</t>
  </si>
  <si>
    <t>18/12/24: iniz.19/12</t>
  </si>
  <si>
    <r>
      <t xml:space="preserve">Adeguamento del sistema fognario e depurativo dell'agglomerato AG01807601 (Gropello Cairoli). Potenziamento </t>
    </r>
    <r>
      <rPr>
        <b/>
        <sz val="8"/>
        <rFont val="Arial"/>
        <family val="2"/>
      </rPr>
      <t>depuratore</t>
    </r>
    <r>
      <rPr>
        <sz val="8"/>
        <rFont val="Arial"/>
        <family val="2"/>
      </rPr>
      <t xml:space="preserve"> di </t>
    </r>
    <r>
      <rPr>
        <b/>
        <sz val="8"/>
        <rFont val="Arial"/>
        <family val="2"/>
      </rPr>
      <t>Gropello</t>
    </r>
    <r>
      <rPr>
        <sz val="8"/>
        <rFont val="Arial"/>
        <family val="2"/>
      </rPr>
      <t xml:space="preserve"> </t>
    </r>
    <r>
      <rPr>
        <b/>
        <sz val="8"/>
        <rFont val="Arial"/>
        <family val="2"/>
      </rPr>
      <t>Cairoli.</t>
    </r>
  </si>
  <si>
    <t>349_1</t>
  </si>
  <si>
    <t>27/02/23 GURI +sito +TG+Oss; 28/2 n.2quot</t>
  </si>
  <si>
    <t>30/03/23 h 12.00</t>
  </si>
  <si>
    <t>24.06.24 - Atto di sottomissione D.L. 50/2022 lavoraz 2024</t>
  </si>
  <si>
    <t>28.08.24 - Atto di sottomissione D.L. 50/2022 lavoraz 2024</t>
  </si>
  <si>
    <r>
      <t xml:space="preserve">Adeguamento del sistema fognario e </t>
    </r>
    <r>
      <rPr>
        <b/>
        <sz val="8"/>
        <rFont val="Arial"/>
        <family val="2"/>
      </rPr>
      <t>depurativo</t>
    </r>
    <r>
      <rPr>
        <sz val="8"/>
        <rFont val="Arial"/>
        <family val="2"/>
      </rPr>
      <t xml:space="preserve"> dell'agglomerato AG01808401 (</t>
    </r>
    <r>
      <rPr>
        <b/>
        <sz val="8"/>
        <rFont val="Arial"/>
        <family val="2"/>
      </rPr>
      <t>Lungavilla</t>
    </r>
    <r>
      <rPr>
        <sz val="8"/>
        <rFont val="Arial"/>
        <family val="2"/>
      </rPr>
      <t>).</t>
    </r>
  </si>
  <si>
    <t>351</t>
  </si>
  <si>
    <t>10/03/23 GURI +sito +TG+Oss; 16/3 n.2quot</t>
  </si>
  <si>
    <t>17/04/23 h 12.00</t>
  </si>
  <si>
    <r>
      <t xml:space="preserve">Tec.Am Srl </t>
    </r>
    <r>
      <rPr>
        <sz val="8"/>
        <rFont val="Arial"/>
        <family val="2"/>
      </rPr>
      <t>(Albino - BG)</t>
    </r>
  </si>
  <si>
    <t>04/08/23 US</t>
  </si>
  <si>
    <r>
      <t xml:space="preserve">Comune di </t>
    </r>
    <r>
      <rPr>
        <b/>
        <sz val="8"/>
        <rFont val="Arial"/>
        <family val="2"/>
      </rPr>
      <t>Varzi</t>
    </r>
    <r>
      <rPr>
        <sz val="8"/>
        <rFont val="Arial"/>
        <family val="2"/>
      </rPr>
      <t xml:space="preserve">. Terebrazione nuovi </t>
    </r>
    <r>
      <rPr>
        <b/>
        <sz val="8"/>
        <rFont val="Arial"/>
        <family val="2"/>
      </rPr>
      <t>pozzi</t>
    </r>
    <r>
      <rPr>
        <sz val="8"/>
        <rFont val="Arial"/>
        <family val="2"/>
      </rPr>
      <t xml:space="preserve"> a supporto campo pozzi Località Cagnano in crisi idrica.</t>
    </r>
  </si>
  <si>
    <t>13/04/23 US</t>
  </si>
  <si>
    <r>
      <t xml:space="preserve">Interventi di ripristino e riattivazione </t>
    </r>
    <r>
      <rPr>
        <b/>
        <sz val="8"/>
        <rFont val="Arial"/>
        <family val="2"/>
      </rPr>
      <t>pozzi ex Gabel e Canova 2</t>
    </r>
    <r>
      <rPr>
        <sz val="8"/>
        <rFont val="Arial"/>
        <family val="2"/>
      </rPr>
      <t xml:space="preserve"> in comune di </t>
    </r>
    <r>
      <rPr>
        <b/>
        <sz val="8"/>
        <rFont val="Arial"/>
        <family val="2"/>
      </rPr>
      <t>Rivanazzano Terme</t>
    </r>
    <r>
      <rPr>
        <sz val="8"/>
        <rFont val="Arial"/>
        <family val="2"/>
      </rPr>
      <t>.</t>
    </r>
  </si>
  <si>
    <r>
      <t xml:space="preserve">Interventi di manutenzione straordinaria e programmata impianti. Comune di </t>
    </r>
    <r>
      <rPr>
        <b/>
        <sz val="8"/>
        <rFont val="Arial"/>
        <family val="2"/>
      </rPr>
      <t>Marzano</t>
    </r>
    <r>
      <rPr>
        <sz val="8"/>
        <rFont val="Arial"/>
        <family val="2"/>
      </rPr>
      <t xml:space="preserve">. Rifacimento </t>
    </r>
    <r>
      <rPr>
        <b/>
        <sz val="8"/>
        <rFont val="Arial"/>
        <family val="2"/>
      </rPr>
      <t>Centrale</t>
    </r>
    <r>
      <rPr>
        <sz val="8"/>
        <rFont val="Arial"/>
        <family val="2"/>
      </rPr>
      <t xml:space="preserve"> di potabilizzazione di Via Matteotti.</t>
    </r>
  </si>
  <si>
    <t>P.N. 27/4/23 (n.6 ALBO)</t>
  </si>
  <si>
    <t>16/05/23 h12</t>
  </si>
  <si>
    <t>13/06/23 US</t>
  </si>
  <si>
    <t>parz 05/10/23; 12/02/24</t>
  </si>
  <si>
    <t>03.06.2024 - Atto di sottomissione D.L. 50/2022 lavoraz del 2023 e 2024</t>
  </si>
  <si>
    <t>01.10.24 Atto di sottomissione D.L. 50/2022 lavoraz nel 2024</t>
  </si>
  <si>
    <r>
      <t xml:space="preserve">Adeguamento degli schemi depurativi a servizio degli agglomerati a nord della città di Pavia - Interventi di collettamento delle reti fognarie degli agglomerati delle frazioni orientali di </t>
    </r>
    <r>
      <rPr>
        <b/>
        <sz val="8"/>
        <rFont val="Arial"/>
        <family val="2"/>
      </rPr>
      <t>Giussago</t>
    </r>
    <r>
      <rPr>
        <sz val="8"/>
        <rFont val="Arial"/>
        <family val="2"/>
      </rPr>
      <t xml:space="preserve"> (</t>
    </r>
    <r>
      <rPr>
        <b/>
        <sz val="8"/>
        <rFont val="Arial"/>
        <family val="2"/>
      </rPr>
      <t>Turago</t>
    </r>
    <r>
      <rPr>
        <sz val="8"/>
        <rFont val="Arial"/>
        <family val="2"/>
      </rPr>
      <t xml:space="preserve"> Bordone, Moriago, Novedo, Guinzano) e di </t>
    </r>
    <r>
      <rPr>
        <b/>
        <sz val="8"/>
        <rFont val="Arial"/>
        <family val="2"/>
      </rPr>
      <t>Zeccone</t>
    </r>
    <r>
      <rPr>
        <sz val="8"/>
        <rFont val="Arial"/>
        <family val="2"/>
      </rPr>
      <t xml:space="preserve"> e contestuali interconnessioni acquedottistiche.</t>
    </r>
  </si>
  <si>
    <t>318_1 / 318_3 / 304</t>
  </si>
  <si>
    <t>29/05/23 GURI+TG+Oss + 30/5 sito; 31/5 n.2quot</t>
  </si>
  <si>
    <t>28/06/23 h 12.00</t>
  </si>
  <si>
    <r>
      <t xml:space="preserve">SINERGIE S.R.L. </t>
    </r>
    <r>
      <rPr>
        <sz val="8"/>
        <rFont val="Arial"/>
        <family val="2"/>
      </rPr>
      <t>Pedrengo (BG)</t>
    </r>
  </si>
  <si>
    <t>parz 07/12/23</t>
  </si>
  <si>
    <r>
      <t xml:space="preserve">Realizzazione dorsale idrica di trasporto dalla pianura vogherese verso l’area di Montebello della Battaglia/Casteggio e verso l’Alta Collina incluso il tratto compreso tra Godiasco Salice Terme e Varzi. Dorsale acquedottistica di interconnessione tra il sistema acquedottistico della pianura vogherese e sistema acquedottistico di distribuzione dell'area </t>
    </r>
    <r>
      <rPr>
        <b/>
        <sz val="8"/>
        <rFont val="Arial"/>
        <family val="2"/>
      </rPr>
      <t>casteggiana</t>
    </r>
    <r>
      <rPr>
        <sz val="8"/>
        <rFont val="Arial"/>
        <family val="2"/>
      </rPr>
      <t>.</t>
    </r>
  </si>
  <si>
    <t>383_10 (4.1-A2-6.d)</t>
  </si>
  <si>
    <t>14/06/23 GURI +sito +TG + 15/6 Oss; 17/6 n.2quot</t>
  </si>
  <si>
    <t>14/07/23 h 12.00</t>
  </si>
  <si>
    <r>
      <t>CEBAT S.P.A.</t>
    </r>
    <r>
      <rPr>
        <sz val="8"/>
        <rFont val="Arial"/>
        <family val="2"/>
      </rPr>
      <t xml:space="preserve"> (Roma)</t>
    </r>
  </si>
  <si>
    <t>28/12/23: inizio 15/1/24</t>
  </si>
  <si>
    <r>
      <t xml:space="preserve">Realizzazione dorsale idrica di trasporto dalla pianura vogherese verso l’area di Montebello della Battaglia/Casteggio e verso l’Alta Collina incluso il tratto compreso tra Godiasco Salice Terme e Varzi. 
Dorsale di trasporto lungo la </t>
    </r>
    <r>
      <rPr>
        <b/>
        <sz val="8"/>
        <rFont val="Arial"/>
        <family val="2"/>
      </rPr>
      <t>Val di Nizza</t>
    </r>
    <r>
      <rPr>
        <sz val="8"/>
        <rFont val="Arial"/>
        <family val="2"/>
      </rPr>
      <t xml:space="preserve"> dall'abitato di Ponte Nizza con interconnessione alla rete acquedottistica del Comune di Colli Verdi.</t>
    </r>
  </si>
  <si>
    <t>383_08 (4.1-A2-6.b)</t>
  </si>
  <si>
    <t>16/06/23 GURI +sito +TG+Oss; 20/6 n.2quot</t>
  </si>
  <si>
    <t>21/07/23 h 12.00</t>
  </si>
  <si>
    <t>20/2/24: inizio 26/2/24</t>
  </si>
  <si>
    <r>
      <t xml:space="preserve">Realizzazione dorsale idrica di trasporto dalla pianura vogherese verso l’area di Montebello della Battaglia/Casteggio e verso l’Alta Collina incluso il tratto compreso tra Godiasco Salice Terme e Varzi. Potenziamento dorsale acquedottistica dell'area di pianura vogherese occidentale e connessioni tra campo pozzi Casei Gerola - Voghera, pozzi di </t>
    </r>
    <r>
      <rPr>
        <b/>
        <sz val="8"/>
        <rFont val="Arial"/>
        <family val="2"/>
      </rPr>
      <t>Voghera e Rivanazzano Terme</t>
    </r>
    <r>
      <rPr>
        <sz val="8"/>
        <rFont val="Arial"/>
        <family val="2"/>
      </rPr>
      <t xml:space="preserve"> e  serbatoio di Godiasco Salice Terme.</t>
    </r>
  </si>
  <si>
    <t>383_07 (4.1-A2-6.a)</t>
  </si>
  <si>
    <t>19/06/23 GURI +sito +TG+Oss; 21/6 n.2quot</t>
  </si>
  <si>
    <t>19/3/24: inizio 19/3/24</t>
  </si>
  <si>
    <r>
      <t xml:space="preserve">Realizzazione dorsale idrica di trasporto dalla pianura vogherese verso l’area di Montebello della Battaglia/Casteggio e verso l’Alta Collina incluso il tratto compreso tra Godiasco Salice Terme e Varzi. </t>
    </r>
    <r>
      <rPr>
        <b/>
        <sz val="8"/>
        <rFont val="Arial"/>
        <family val="2"/>
      </rPr>
      <t>Vasca di compenso</t>
    </r>
    <r>
      <rPr>
        <sz val="8"/>
        <rFont val="Arial"/>
        <family val="2"/>
      </rPr>
      <t xml:space="preserve"> e riserva collocata in comune di Val di Nizza con capacità di stoccaggio pari a 500 mc.</t>
    </r>
  </si>
  <si>
    <t>383_09 (4.1-A2-6.c)</t>
  </si>
  <si>
    <t>23/06/23 GURI +sito +TG+Oss; 26e27/6 n.2quot</t>
  </si>
  <si>
    <t>24/07/23 h 12.00</t>
  </si>
  <si>
    <r>
      <t>BIOTEAM S.r.l.</t>
    </r>
    <r>
      <rPr>
        <sz val="8"/>
        <rFont val="Arial"/>
        <family val="2"/>
      </rPr>
      <t xml:space="preserve"> (San Zeno Naviglio BS)</t>
    </r>
  </si>
  <si>
    <t>28/11/24: inizio 10/12/24</t>
  </si>
  <si>
    <t>28/6/23 GUCE+TG+sito+Oss +30/6 GURI +3e4/7 n.4quot</t>
  </si>
  <si>
    <t>25/07/23 h 12.00</t>
  </si>
  <si>
    <r>
      <t>MADDALENA SPA</t>
    </r>
    <r>
      <rPr>
        <sz val="8"/>
        <rFont val="Arial"/>
        <family val="2"/>
      </rPr>
      <t xml:space="preserve"> (Povoletto UD)</t>
    </r>
  </si>
  <si>
    <t>38,553% + 2,650%</t>
  </si>
  <si>
    <t>36 mesi (+12)</t>
  </si>
  <si>
    <r>
      <t xml:space="preserve">Interventi di manutenzione straordinaria e programmata impianti. Comune di Pavia. Interventi di manutenzione straordinaria con riperforazione del </t>
    </r>
    <r>
      <rPr>
        <b/>
        <sz val="8"/>
        <rFont val="Arial"/>
        <family val="2"/>
      </rPr>
      <t>pozzo Tavazzani</t>
    </r>
    <r>
      <rPr>
        <sz val="8"/>
        <rFont val="Arial"/>
        <family val="2"/>
      </rPr>
      <t xml:space="preserve"> a servizi della Centrale di potabilizzazione Est.</t>
    </r>
  </si>
  <si>
    <t>P.N. 30/6/23 (ns albo n.8)</t>
  </si>
  <si>
    <t>25/07/23 h12.00</t>
  </si>
  <si>
    <r>
      <t>ARTESIA POZZI PER ACQUA SRL</t>
    </r>
    <r>
      <rPr>
        <sz val="8"/>
        <rFont val="Arial"/>
        <family val="2"/>
      </rPr>
      <t xml:space="preserve"> (Nogara VR)</t>
    </r>
  </si>
  <si>
    <t>6/09/23 US</t>
  </si>
  <si>
    <t>02/09/2024: inizio 10/09/24</t>
  </si>
  <si>
    <r>
      <rPr>
        <b/>
        <sz val="8"/>
        <rFont val="Arial"/>
        <family val="2"/>
      </rPr>
      <t xml:space="preserve">Lavori civili, edili e idraulici su allacci </t>
    </r>
    <r>
      <rPr>
        <sz val="8"/>
        <rFont val="Arial"/>
        <family val="2"/>
      </rPr>
      <t xml:space="preserve">acquedotto e impianti utenza, suddivisa in </t>
    </r>
    <r>
      <rPr>
        <b/>
        <sz val="8"/>
        <rFont val="Arial"/>
        <family val="2"/>
      </rPr>
      <t>3 lotti</t>
    </r>
    <r>
      <rPr>
        <sz val="8"/>
        <rFont val="Arial"/>
        <family val="2"/>
      </rPr>
      <t>.</t>
    </r>
    <r>
      <rPr>
        <b/>
        <sz val="8"/>
        <rFont val="Arial"/>
        <family val="2"/>
      </rPr>
      <t xml:space="preserve"> Lotto 1 Pavese</t>
    </r>
  </si>
  <si>
    <t>30/06/23 GURI +sito +TG+Oss; 6/7 n.2quot</t>
  </si>
  <si>
    <t>31/07/23 h10</t>
  </si>
  <si>
    <r>
      <rPr>
        <b/>
        <sz val="8"/>
        <rFont val="Arial"/>
        <family val="2"/>
      </rPr>
      <t>CEBAT S.P.A.</t>
    </r>
    <r>
      <rPr>
        <sz val="8"/>
        <rFont val="Arial"/>
        <family val="2"/>
      </rPr>
      <t xml:space="preserve"> (Roma)</t>
    </r>
  </si>
  <si>
    <t>12 mesi (+12)</t>
  </si>
  <si>
    <t>22.10.24 atto sottomissione quinto d'obbligo e proroga temporale al 30.04.25</t>
  </si>
  <si>
    <t>19.03.25 atto sottomissione n.5 proroga tecnica nelle more agg nuova gara (proroga temporale al 31.05.25)</t>
  </si>
  <si>
    <r>
      <rPr>
        <b/>
        <sz val="8"/>
        <rFont val="Arial"/>
        <family val="2"/>
      </rPr>
      <t xml:space="preserve">Eprom Srl </t>
    </r>
    <r>
      <rPr>
        <sz val="8"/>
        <rFont val="Arial"/>
        <family val="2"/>
      </rPr>
      <t xml:space="preserve">(San Giovanni Teatino - CH) </t>
    </r>
    <r>
      <rPr>
        <b/>
        <sz val="8"/>
        <rFont val="Arial"/>
        <family val="2"/>
      </rPr>
      <t>90%</t>
    </r>
    <r>
      <rPr>
        <sz val="8"/>
        <rFont val="Arial"/>
        <family val="2"/>
      </rPr>
      <t xml:space="preserve"> rti con </t>
    </r>
    <r>
      <rPr>
        <b/>
        <sz val="8"/>
        <rFont val="Arial"/>
        <family val="2"/>
      </rPr>
      <t>CO.M.AB. S.R.L.</t>
    </r>
    <r>
      <rPr>
        <sz val="8"/>
        <rFont val="Arial"/>
        <family val="2"/>
      </rPr>
      <t xml:space="preserve"> (Ateleta AQ) </t>
    </r>
    <r>
      <rPr>
        <b/>
        <sz val="8"/>
        <rFont val="Arial"/>
        <family val="2"/>
      </rPr>
      <t>10%</t>
    </r>
  </si>
  <si>
    <t>13/11/2023: inizio 14/11/23</t>
  </si>
  <si>
    <t xml:space="preserve">22.10.24 atto sottomissione quinto d'obbligo e proroga temporale al 30.04.25 </t>
  </si>
  <si>
    <t>29.4.25: atto sottomis n.5 x proroga termini al 30.6.25</t>
  </si>
  <si>
    <t>22.10.24: atto sottomis x proroga termini al 30.4.25; 29.4.25: atto sottomis n.4 x proroga termini al 30.6.25</t>
  </si>
  <si>
    <t>23/10/23 GURI+sito+TG; 14/11 Oss; 27/10 n.2quot</t>
  </si>
  <si>
    <t>23/11/23 h12</t>
  </si>
  <si>
    <r>
      <rPr>
        <b/>
        <sz val="8"/>
        <rFont val="Arial"/>
        <family val="2"/>
      </rPr>
      <t>ENERGY SYSTEM SRL</t>
    </r>
    <r>
      <rPr>
        <sz val="8"/>
        <rFont val="Arial"/>
        <family val="2"/>
      </rPr>
      <t xml:space="preserve"> (Buccinasco MI)</t>
    </r>
  </si>
  <si>
    <t>26,09%; 
2.478,40 prog.term;
1.487,04 integr.prog.eletr.</t>
  </si>
  <si>
    <t>12 mesi (+6)</t>
  </si>
  <si>
    <t>27/9/24: inizio 1/10/24</t>
  </si>
  <si>
    <t>24/10/23 GUCE+TG +25/10 sito +14/11 Oss +27/10 GURI +30/10 n.4quot</t>
  </si>
  <si>
    <t>23/11/23 h10</t>
  </si>
  <si>
    <r>
      <t>LC GENERAL SCAVI SRL (Cilavegna PV)</t>
    </r>
    <r>
      <rPr>
        <sz val="8"/>
        <rFont val="Arial"/>
        <family val="2"/>
      </rPr>
      <t xml:space="preserve"> 80% </t>
    </r>
    <r>
      <rPr>
        <b/>
        <sz val="8"/>
        <rFont val="Arial"/>
        <family val="2"/>
      </rPr>
      <t>ATI con D.H.D SRL  (Lombardore TO)</t>
    </r>
    <r>
      <rPr>
        <sz val="8"/>
        <rFont val="Arial"/>
        <family val="2"/>
      </rPr>
      <t xml:space="preserve"> 20%</t>
    </r>
  </si>
  <si>
    <r>
      <rPr>
        <b/>
        <sz val="8"/>
        <rFont val="Arial"/>
        <family val="2"/>
      </rPr>
      <t>DARF SRL</t>
    </r>
    <r>
      <rPr>
        <sz val="8"/>
        <rFont val="Arial"/>
        <family val="2"/>
      </rPr>
      <t xml:space="preserve"> (Torre del Greco NA)</t>
    </r>
  </si>
  <si>
    <t>30/10/23 GURI +27/10 sito+TG; 14/11 Oss; 31/10 n.2quot</t>
  </si>
  <si>
    <t>29/11/23 h12</t>
  </si>
  <si>
    <r>
      <t xml:space="preserve">IN.TE.CO SRL </t>
    </r>
    <r>
      <rPr>
        <sz val="8"/>
        <rFont val="Arial"/>
        <family val="2"/>
      </rPr>
      <t xml:space="preserve">(Cambiago MI) 51% </t>
    </r>
    <r>
      <rPr>
        <b/>
        <sz val="8"/>
        <rFont val="Arial"/>
        <family val="2"/>
      </rPr>
      <t xml:space="preserve">ATI con DANPHIX SPA </t>
    </r>
    <r>
      <rPr>
        <sz val="8"/>
        <rFont val="Arial"/>
        <family val="2"/>
      </rPr>
      <t>(Reggio Emilia) 49%</t>
    </r>
  </si>
  <si>
    <r>
      <rPr>
        <b/>
        <strike/>
        <sz val="8"/>
        <rFont val="Arial"/>
        <family val="2"/>
      </rPr>
      <t>30/11/23 h12;</t>
    </r>
    <r>
      <rPr>
        <b/>
        <sz val="8"/>
        <rFont val="Arial"/>
        <family val="2"/>
      </rPr>
      <t xml:space="preserve"> proroga al 5.12.23 h12</t>
    </r>
  </si>
  <si>
    <r>
      <t xml:space="preserve">MADDALENA SPA </t>
    </r>
    <r>
      <rPr>
        <sz val="8"/>
        <rFont val="Arial"/>
        <family val="2"/>
      </rPr>
      <t xml:space="preserve">(Povoletto UD) 90,79% </t>
    </r>
    <r>
      <rPr>
        <b/>
        <sz val="8"/>
        <rFont val="Arial"/>
        <family val="2"/>
      </rPr>
      <t xml:space="preserve">ATI con GEST IOT S.r.l. </t>
    </r>
    <r>
      <rPr>
        <sz val="8"/>
        <rFont val="Arial"/>
        <family val="2"/>
      </rPr>
      <t>(San Giovanni La Punta CT) 9,21%</t>
    </r>
  </si>
  <si>
    <t>24,909% + 1,01%</t>
  </si>
  <si>
    <t>24 mesi (+24)</t>
  </si>
  <si>
    <t>4/12/23 h12</t>
  </si>
  <si>
    <r>
      <t xml:space="preserve">Consorzio Servizi Qualificati </t>
    </r>
    <r>
      <rPr>
        <sz val="8"/>
        <rFont val="Arial"/>
        <family val="2"/>
      </rPr>
      <t xml:space="preserve">(Genova) 51% </t>
    </r>
    <r>
      <rPr>
        <b/>
        <sz val="8"/>
        <rFont val="Arial"/>
        <family val="2"/>
      </rPr>
      <t>ATI con Bruno Srl</t>
    </r>
    <r>
      <rPr>
        <sz val="8"/>
        <rFont val="Arial"/>
        <family val="2"/>
      </rPr>
      <t xml:space="preserve"> (Milano) 49%</t>
    </r>
  </si>
  <si>
    <t>24 mesi</t>
  </si>
  <si>
    <r>
      <t xml:space="preserve">SOLOGAS S.R.L. </t>
    </r>
    <r>
      <rPr>
        <sz val="8"/>
        <rFont val="Arial"/>
        <family val="2"/>
      </rPr>
      <t>(Cambiano TO)</t>
    </r>
  </si>
  <si>
    <t>3/11/23 GURI; 2/11 sito+TG; 14/11 Oss</t>
  </si>
  <si>
    <t>4/12/23 h10</t>
  </si>
  <si>
    <t>1.368; 3.356; 25%; 3.600; 5%</t>
  </si>
  <si>
    <t>5/12/23 h10</t>
  </si>
  <si>
    <r>
      <rPr>
        <b/>
        <sz val="8"/>
        <rFont val="Arial"/>
        <family val="2"/>
      </rPr>
      <t>SCHNEIDER ELETRIC SYSTEMS ITALIA S.R.L.</t>
    </r>
    <r>
      <rPr>
        <sz val="8"/>
        <rFont val="Arial"/>
        <family val="2"/>
      </rPr>
      <t xml:space="preserve"> (Stezzano BG)</t>
    </r>
  </si>
  <si>
    <t>8/11/23 GURI+sito; 9/11 TG; 14/11 Oss; 11/11 n.2quot</t>
  </si>
  <si>
    <t>11/12/23 h12</t>
  </si>
  <si>
    <r>
      <t xml:space="preserve">BECCACECI S.R.L. </t>
    </r>
    <r>
      <rPr>
        <sz val="8"/>
        <rFont val="Arial"/>
        <family val="2"/>
      </rPr>
      <t xml:space="preserve">(Mosciano Sant’Angelo TE) 88,11% </t>
    </r>
    <r>
      <rPr>
        <b/>
        <sz val="8"/>
        <rFont val="Arial"/>
        <family val="2"/>
      </rPr>
      <t xml:space="preserve">ATI con IDROSTUDI S.R.L. </t>
    </r>
    <r>
      <rPr>
        <sz val="8"/>
        <rFont val="Arial"/>
        <family val="2"/>
      </rPr>
      <t>(Trieste TS) 8,92%</t>
    </r>
    <r>
      <rPr>
        <b/>
        <sz val="8"/>
        <rFont val="Arial"/>
        <family val="2"/>
      </rPr>
      <t xml:space="preserve"> e ASSOCIAZIONE INGEGNERI DELL’ACQUA</t>
    </r>
    <r>
      <rPr>
        <sz val="8"/>
        <rFont val="Arial"/>
        <family val="2"/>
      </rPr>
      <t xml:space="preserve"> (Vicenza VI) 2,97%</t>
    </r>
  </si>
  <si>
    <t>5,00% + 5,00% + 15,69%</t>
  </si>
  <si>
    <r>
      <rPr>
        <b/>
        <sz val="8"/>
        <rFont val="Arial"/>
        <family val="2"/>
      </rPr>
      <t>Accordo quadro</t>
    </r>
    <r>
      <rPr>
        <sz val="8"/>
        <rFont val="Arial"/>
        <family val="2"/>
      </rPr>
      <t xml:space="preserve"> fornitura di </t>
    </r>
    <r>
      <rPr>
        <b/>
        <sz val="8"/>
        <rFont val="Arial"/>
        <family val="2"/>
      </rPr>
      <t>compressori</t>
    </r>
    <r>
      <rPr>
        <sz val="8"/>
        <rFont val="Arial"/>
        <family val="2"/>
      </rPr>
      <t xml:space="preserve"> e accessori per impianti di potabilizzazione
</t>
    </r>
  </si>
  <si>
    <t>19/12 sito+TG+Oss; 22/12/23 GURI</t>
  </si>
  <si>
    <t>22/01/24 h 12,00</t>
  </si>
  <si>
    <t>GARA SENZA ESITO</t>
  </si>
  <si>
    <t>04/04/24 CIG +TG +sito</t>
  </si>
  <si>
    <t>06/05/24 h 12,00</t>
  </si>
  <si>
    <r>
      <rPr>
        <b/>
        <sz val="8"/>
        <rFont val="Arial"/>
        <family val="2"/>
      </rPr>
      <t xml:space="preserve">PRO.TEC SRL </t>
    </r>
    <r>
      <rPr>
        <sz val="8"/>
        <rFont val="Arial"/>
        <family val="2"/>
      </rPr>
      <t>(Mestrino PD)</t>
    </r>
  </si>
  <si>
    <r>
      <t xml:space="preserve">Adeguamento funzionale del sistema di distribuzione idrica di </t>
    </r>
    <r>
      <rPr>
        <b/>
        <sz val="8"/>
        <rFont val="Arial"/>
        <family val="2"/>
      </rPr>
      <t>Bascapè</t>
    </r>
    <r>
      <rPr>
        <sz val="8"/>
        <rFont val="Arial"/>
        <family val="2"/>
      </rPr>
      <t xml:space="preserve">. Realizzazione </t>
    </r>
    <r>
      <rPr>
        <b/>
        <sz val="8"/>
        <rFont val="Arial"/>
        <family val="2"/>
      </rPr>
      <t>asfaltature</t>
    </r>
    <r>
      <rPr>
        <sz val="8"/>
        <rFont val="Arial"/>
        <family val="2"/>
      </rPr>
      <t xml:space="preserve"> su interventi di rinnovazione acquedottistica realizzati da Pavia Acque.</t>
    </r>
  </si>
  <si>
    <t>P.N. 25/3/24 (n.18 albo pva)</t>
  </si>
  <si>
    <t>17/04/24 h 12.00</t>
  </si>
  <si>
    <r>
      <rPr>
        <b/>
        <sz val="8"/>
        <rFont val="Arial"/>
        <family val="2"/>
      </rPr>
      <t>MEZZANZANICA S.P.A.</t>
    </r>
    <r>
      <rPr>
        <sz val="8"/>
        <rFont val="Arial"/>
        <family val="2"/>
      </rPr>
      <t xml:space="preserve"> (Parabiago - MI)</t>
    </r>
  </si>
  <si>
    <t>inizio 8/7/24</t>
  </si>
  <si>
    <r>
      <t xml:space="preserve">Interventi di manutenzione straordinaria e programmata impianti. Comune di </t>
    </r>
    <r>
      <rPr>
        <b/>
        <sz val="8"/>
        <rFont val="Arial"/>
        <family val="2"/>
      </rPr>
      <t>San Giorgio Lomellina</t>
    </r>
    <r>
      <rPr>
        <sz val="8"/>
        <rFont val="Arial"/>
        <family val="2"/>
      </rPr>
      <t xml:space="preserve">. Interventi di manutenzione straordinaria con riperforazione del </t>
    </r>
    <r>
      <rPr>
        <b/>
        <sz val="8"/>
        <rFont val="Arial"/>
        <family val="2"/>
      </rPr>
      <t>pozzo</t>
    </r>
    <r>
      <rPr>
        <sz val="8"/>
        <rFont val="Arial"/>
        <family val="2"/>
      </rPr>
      <t xml:space="preserve"> a servizio della centrale di potabilizzazione.</t>
    </r>
  </si>
  <si>
    <t>P.N. 10/4/24 (ns albo n.8)</t>
  </si>
  <si>
    <t>29/04/24 h 10.00</t>
  </si>
  <si>
    <r>
      <t xml:space="preserve">Opere per la messa in sicurezza dei versanti Comune di </t>
    </r>
    <r>
      <rPr>
        <b/>
        <sz val="8"/>
        <rFont val="Arial"/>
        <family val="2"/>
      </rPr>
      <t>Varzi</t>
    </r>
    <r>
      <rPr>
        <sz val="8"/>
        <rFont val="Arial"/>
        <family val="2"/>
      </rPr>
      <t>, Val di Nizza e Colli Verdi fasce sorgenti.</t>
    </r>
  </si>
  <si>
    <t>06/05/24 CIG; 07/05/24 TG+sito</t>
  </si>
  <si>
    <t>06/06/24 h12.00</t>
  </si>
  <si>
    <r>
      <rPr>
        <b/>
        <sz val="8"/>
        <rFont val="Arial"/>
        <family val="2"/>
      </rPr>
      <t>VIVAI BARRETTA GARDEN S.R.L.</t>
    </r>
    <r>
      <rPr>
        <sz val="8"/>
        <rFont val="Arial"/>
        <family val="2"/>
      </rPr>
      <t xml:space="preserve"> (Melito di Napoli - NA)</t>
    </r>
  </si>
  <si>
    <t>11/9/24: inizio 16/9/24</t>
  </si>
  <si>
    <r>
      <t xml:space="preserve">Interventi di sistemazione del dissesto franoso, nei comuni di </t>
    </r>
    <r>
      <rPr>
        <b/>
        <sz val="8"/>
        <rFont val="Arial"/>
        <family val="2"/>
      </rPr>
      <t>Santa Maria della Versa</t>
    </r>
    <r>
      <rPr>
        <sz val="8"/>
        <rFont val="Arial"/>
        <family val="2"/>
      </rPr>
      <t xml:space="preserve"> loc. Donelasco, </t>
    </r>
    <r>
      <rPr>
        <b/>
        <sz val="8"/>
        <rFont val="Arial"/>
        <family val="2"/>
      </rPr>
      <t>Montalto Pavese</t>
    </r>
    <r>
      <rPr>
        <sz val="8"/>
        <rFont val="Arial"/>
        <family val="2"/>
      </rPr>
      <t xml:space="preserve"> loc. Costagrossa, Molgheto e Villa Illibardi. </t>
    </r>
  </si>
  <si>
    <t>P.N. 13/5/24 (ns albo n.6)</t>
  </si>
  <si>
    <t>28/05/24 h12.00</t>
  </si>
  <si>
    <r>
      <rPr>
        <b/>
        <sz val="8"/>
        <rFont val="Arial"/>
        <family val="2"/>
      </rPr>
      <t>GIUSTINIANA S.R.L.</t>
    </r>
    <r>
      <rPr>
        <sz val="8"/>
        <rFont val="Arial"/>
        <family val="2"/>
      </rPr>
      <t xml:space="preserve"> (Gavi - AL)</t>
    </r>
  </si>
  <si>
    <t>71/11/24: inizio 3/12/24</t>
  </si>
  <si>
    <r>
      <t xml:space="preserve">Interventi di manutenzione straordinaria sui manufatti di presa </t>
    </r>
    <r>
      <rPr>
        <b/>
        <sz val="8"/>
        <rFont val="Arial"/>
        <family val="2"/>
      </rPr>
      <t>sorgenti</t>
    </r>
    <r>
      <rPr>
        <sz val="8"/>
        <rFont val="Arial"/>
        <family val="2"/>
      </rPr>
      <t xml:space="preserve"> ed opere adibite al servizio acquedotto in area alto Oltrepò.  </t>
    </r>
    <r>
      <rPr>
        <b/>
        <sz val="8"/>
        <rFont val="Arial"/>
        <family val="2"/>
      </rPr>
      <t>Accordo Quadro</t>
    </r>
    <r>
      <rPr>
        <sz val="8"/>
        <rFont val="Arial"/>
        <family val="2"/>
      </rPr>
      <t xml:space="preserve"> 2024-2025.</t>
    </r>
  </si>
  <si>
    <t>13/05/24 CIG+TG; 14/05/24 sito</t>
  </si>
  <si>
    <t>13/06/24 h12.00</t>
  </si>
  <si>
    <r>
      <rPr>
        <b/>
        <sz val="8"/>
        <rFont val="Arial"/>
        <family val="2"/>
      </rPr>
      <t>SINOPOLI SRL</t>
    </r>
    <r>
      <rPr>
        <sz val="8"/>
        <rFont val="Arial"/>
        <family val="2"/>
      </rPr>
      <t xml:space="preserve"> (Pregnana Milanese MI)</t>
    </r>
  </si>
  <si>
    <t>18 m + 6 m</t>
  </si>
  <si>
    <t>19/03/25: inizio 24/03/25</t>
  </si>
  <si>
    <r>
      <rPr>
        <b/>
        <sz val="8"/>
        <rFont val="Arial"/>
        <family val="2"/>
      </rPr>
      <t>Accordo Quadro</t>
    </r>
    <r>
      <rPr>
        <sz val="8"/>
        <rFont val="Arial"/>
        <family val="2"/>
      </rPr>
      <t xml:space="preserve">: Interventi di </t>
    </r>
    <r>
      <rPr>
        <b/>
        <sz val="8"/>
        <rFont val="Arial"/>
        <family val="2"/>
      </rPr>
      <t xml:space="preserve">manutenzione su fabbricati </t>
    </r>
    <r>
      <rPr>
        <sz val="8"/>
        <rFont val="Arial"/>
        <family val="2"/>
      </rPr>
      <t>e strutture adibiti al servizio idrico integrato nella Provincia di Pavia – Anno 2024-2026.</t>
    </r>
  </si>
  <si>
    <t>16/05/24 CIG+TG; 17/05/24 sito</t>
  </si>
  <si>
    <t>17/06/24 h12.00</t>
  </si>
  <si>
    <r>
      <rPr>
        <b/>
        <sz val="8"/>
        <rFont val="Arial"/>
        <family val="2"/>
      </rPr>
      <t>F.L. COSTRUZIONI SRL</t>
    </r>
    <r>
      <rPr>
        <sz val="8"/>
        <rFont val="Arial"/>
        <family val="2"/>
      </rPr>
      <t xml:space="preserve"> (San Cipriano Po - PV)</t>
    </r>
  </si>
  <si>
    <t>24 m + 12 m</t>
  </si>
  <si>
    <t>21/10/24: inizio 22/10/24</t>
  </si>
  <si>
    <r>
      <t xml:space="preserve">Interventi di manutenzione straordinaria con riperforazione del </t>
    </r>
    <r>
      <rPr>
        <b/>
        <sz val="8"/>
        <rFont val="Arial"/>
        <family val="2"/>
      </rPr>
      <t>pozzo di presa</t>
    </r>
    <r>
      <rPr>
        <sz val="8"/>
        <rFont val="Arial"/>
        <family val="2"/>
      </rPr>
      <t xml:space="preserve"> impianto geotermico sede Pavia Acque Via </t>
    </r>
    <r>
      <rPr>
        <b/>
        <sz val="8"/>
        <rFont val="Arial"/>
        <family val="2"/>
      </rPr>
      <t>Taramelli</t>
    </r>
    <r>
      <rPr>
        <sz val="8"/>
        <rFont val="Arial"/>
        <family val="2"/>
      </rPr>
      <t>.</t>
    </r>
  </si>
  <si>
    <t>6/6/24 CIG+TG (rich off per AD, ARTESIA POZZI rinuncia)</t>
  </si>
  <si>
    <t>20/06/24 h10.00</t>
  </si>
  <si>
    <r>
      <t xml:space="preserve">Interventi di manutenzione straordinaria sui </t>
    </r>
    <r>
      <rPr>
        <b/>
        <sz val="8"/>
        <rFont val="Arial"/>
        <family val="2"/>
      </rPr>
      <t>pozzi</t>
    </r>
    <r>
      <rPr>
        <sz val="8"/>
        <rFont val="Arial"/>
        <family val="2"/>
      </rPr>
      <t>.</t>
    </r>
    <r>
      <rPr>
        <b/>
        <sz val="8"/>
        <rFont val="Arial"/>
        <family val="2"/>
      </rPr>
      <t xml:space="preserve"> Accordo quadro</t>
    </r>
    <r>
      <rPr>
        <sz val="8"/>
        <rFont val="Arial"/>
        <family val="2"/>
      </rPr>
      <t xml:space="preserve"> 2024 - 2026</t>
    </r>
  </si>
  <si>
    <t>P.N. 15/7/24 (ns albo n.9)</t>
  </si>
  <si>
    <r>
      <t xml:space="preserve">ID 240 - Interventi di riqualificazione della </t>
    </r>
    <r>
      <rPr>
        <b/>
        <sz val="8"/>
        <rFont val="Arial"/>
        <family val="2"/>
      </rPr>
      <t>centrale</t>
    </r>
    <r>
      <rPr>
        <sz val="8"/>
        <rFont val="Arial"/>
        <family val="2"/>
      </rPr>
      <t xml:space="preserve"> di potabilizzazione di </t>
    </r>
    <r>
      <rPr>
        <b/>
        <sz val="8"/>
        <rFont val="Arial"/>
        <family val="2"/>
      </rPr>
      <t>Dorno San Zino.</t>
    </r>
  </si>
  <si>
    <t>P.N. 09/10/24  (n.19 albo pva con OS22 e OG1)</t>
  </si>
  <si>
    <t>04/11/24 h12</t>
  </si>
  <si>
    <r>
      <t xml:space="preserve">R.COSTRUZIONI SRL </t>
    </r>
    <r>
      <rPr>
        <sz val="8"/>
        <rFont val="Arial"/>
        <family val="2"/>
      </rPr>
      <t>(Cava Manara PV)</t>
    </r>
  </si>
  <si>
    <r>
      <t xml:space="preserve">Adeguamento dello schema depurativo e delle reti di fognatura degli Agglomerati AG01801402 (Bereguardo), AG01801401 (Bereguardo - Zelata) e AG01816301 (Trivolzio). Collettamenti </t>
    </r>
    <r>
      <rPr>
        <b/>
        <sz val="8"/>
        <rFont val="Arial"/>
        <family val="2"/>
      </rPr>
      <t>fognari</t>
    </r>
    <r>
      <rPr>
        <sz val="8"/>
        <rFont val="Arial"/>
        <family val="2"/>
      </rPr>
      <t xml:space="preserve"> agglomerati di </t>
    </r>
    <r>
      <rPr>
        <b/>
        <sz val="8"/>
        <rFont val="Arial"/>
        <family val="2"/>
      </rPr>
      <t>Bereguardo</t>
    </r>
    <r>
      <rPr>
        <sz val="8"/>
        <rFont val="Arial"/>
        <family val="2"/>
      </rPr>
      <t>.</t>
    </r>
  </si>
  <si>
    <t>301_1</t>
  </si>
  <si>
    <t>P.N. 22/11/24 (n. 26 albo pva: OG6 PV)</t>
  </si>
  <si>
    <t>10/12/24 h12</t>
  </si>
  <si>
    <r>
      <t xml:space="preserve">I.C.E.S. SRL </t>
    </r>
    <r>
      <rPr>
        <sz val="8"/>
        <rFont val="Arial"/>
        <family val="2"/>
      </rPr>
      <t>(Arena Po PV)</t>
    </r>
  </si>
  <si>
    <t>24/7/25: inizio 28/7/25</t>
  </si>
  <si>
    <r>
      <t xml:space="preserve">Adeguamento funzionale del sistema di approvvigionamento, trattamento e distribuzione delle reti acquedottistiche a servizio dei comuni del Siccomario e potenziamento dell'interconnessione con i comuni limitrofi. Terebrazione nuovo </t>
    </r>
    <r>
      <rPr>
        <b/>
        <sz val="8"/>
        <rFont val="Arial"/>
        <family val="2"/>
      </rPr>
      <t>pozzo</t>
    </r>
    <r>
      <rPr>
        <sz val="8"/>
        <rFont val="Arial"/>
        <family val="2"/>
      </rPr>
      <t xml:space="preserve"> a servizio della centrale di potabilizzazione di </t>
    </r>
    <r>
      <rPr>
        <b/>
        <sz val="8"/>
        <rFont val="Arial"/>
        <family val="2"/>
      </rPr>
      <t>Carbonara</t>
    </r>
    <r>
      <rPr>
        <sz val="8"/>
        <rFont val="Arial"/>
        <family val="2"/>
      </rPr>
      <t xml:space="preserve"> al Ticino.</t>
    </r>
  </si>
  <si>
    <t>311_2</t>
  </si>
  <si>
    <t>P.N. 26/11/24 (ns albo n.9)</t>
  </si>
  <si>
    <t>16/12/24 h12</t>
  </si>
  <si>
    <r>
      <t xml:space="preserve">NEGRETTI S.R.L. </t>
    </r>
    <r>
      <rPr>
        <sz val="8"/>
        <rFont val="Arial"/>
        <family val="2"/>
      </rPr>
      <t>(Corteolona e Genzone PV)</t>
    </r>
  </si>
  <si>
    <t>24/03/25: inizio 24/03/25</t>
  </si>
  <si>
    <r>
      <rPr>
        <b/>
        <sz val="8"/>
        <rFont val="Arial"/>
        <family val="2"/>
      </rPr>
      <t xml:space="preserve">Accordo Quadro - Fornitura in opera di serbatori filtranti </t>
    </r>
    <r>
      <rPr>
        <sz val="8"/>
        <rFont val="Arial"/>
        <family val="2"/>
      </rPr>
      <t>per manutenzione straordinaria impianti di potabilizzazione.</t>
    </r>
  </si>
  <si>
    <t>12/12/24 CIG+TG; 13/12/24 sito</t>
  </si>
  <si>
    <t>13/01/25 h12</t>
  </si>
  <si>
    <r>
      <t xml:space="preserve">TEC.AM SRL </t>
    </r>
    <r>
      <rPr>
        <sz val="8"/>
        <rFont val="Arial"/>
        <family val="2"/>
      </rPr>
      <t>(Albino BG)</t>
    </r>
  </si>
  <si>
    <r>
      <t>Adeguamento dello schema depurativo e delle reti di fognatura degli agglomerati AG01801402 (Bereguardo), AG01801401 (</t>
    </r>
    <r>
      <rPr>
        <b/>
        <sz val="8"/>
        <rFont val="Arial"/>
        <family val="2"/>
      </rPr>
      <t>Bereguardo Zelata</t>
    </r>
    <r>
      <rPr>
        <sz val="8"/>
        <rFont val="Arial"/>
        <family val="2"/>
      </rPr>
      <t xml:space="preserve">) e AG01816301 (Trivolzio). Collettamenti fognari agglomerati </t>
    </r>
    <r>
      <rPr>
        <b/>
        <sz val="8"/>
        <rFont val="Arial"/>
        <family val="2"/>
      </rPr>
      <t>Torre d'Isola e Trivolzio</t>
    </r>
    <r>
      <rPr>
        <sz val="8"/>
        <rFont val="Arial"/>
        <family val="2"/>
      </rPr>
      <t>.</t>
    </r>
  </si>
  <si>
    <t>301_2</t>
  </si>
  <si>
    <t>06/02/25 CIG+TG + sito</t>
  </si>
  <si>
    <t>10/03/25 h12</t>
  </si>
  <si>
    <r>
      <t xml:space="preserve">Perforazione nuovo </t>
    </r>
    <r>
      <rPr>
        <b/>
        <sz val="8"/>
        <rFont val="Arial"/>
        <family val="2"/>
      </rPr>
      <t>pozzo</t>
    </r>
    <r>
      <rPr>
        <sz val="8"/>
        <rFont val="Arial"/>
        <family val="2"/>
      </rPr>
      <t xml:space="preserve"> idropotabile centrale di potabilizzazione </t>
    </r>
    <r>
      <rPr>
        <b/>
        <sz val="8"/>
        <rFont val="Arial"/>
        <family val="2"/>
      </rPr>
      <t>Via Aguzzafame Vigevano</t>
    </r>
    <r>
      <rPr>
        <sz val="8"/>
        <rFont val="Arial"/>
        <family val="2"/>
      </rPr>
      <t>.</t>
    </r>
  </si>
  <si>
    <t>P.N. 14/2/25 (ns albo n.9)</t>
  </si>
  <si>
    <t>06/03/25 h12</t>
  </si>
  <si>
    <r>
      <t xml:space="preserve">Accordo Quadro - </t>
    </r>
    <r>
      <rPr>
        <sz val="8"/>
        <rFont val="Arial"/>
        <family val="2"/>
      </rPr>
      <t xml:space="preserve">FORNITURA DI </t>
    </r>
    <r>
      <rPr>
        <b/>
        <sz val="8"/>
        <rFont val="Arial"/>
        <family val="2"/>
      </rPr>
      <t>ELETTROPOMPE</t>
    </r>
    <r>
      <rPr>
        <sz val="8"/>
        <rFont val="Arial"/>
        <family val="2"/>
      </rPr>
      <t xml:space="preserve"> DA POZZO</t>
    </r>
  </si>
  <si>
    <t>P.N. 6/3/25 (ns 3) CIG+TG+sito</t>
  </si>
  <si>
    <t>24/03/25 h12</t>
  </si>
  <si>
    <r>
      <t xml:space="preserve">GRUNDFOS POMPE ITALIA SRL </t>
    </r>
    <r>
      <rPr>
        <sz val="8"/>
        <rFont val="Arial"/>
        <family val="2"/>
      </rPr>
      <t>(Truccazzano MI)</t>
    </r>
  </si>
  <si>
    <r>
      <rPr>
        <b/>
        <sz val="8"/>
        <rFont val="Arial"/>
        <family val="2"/>
      </rPr>
      <t xml:space="preserve">Lavori civili, edili e idraulici su allacci </t>
    </r>
    <r>
      <rPr>
        <sz val="8"/>
        <rFont val="Arial"/>
        <family val="2"/>
      </rPr>
      <t>acquedotto e impianti utenza, suddivisa in 4</t>
    </r>
    <r>
      <rPr>
        <b/>
        <sz val="8"/>
        <rFont val="Arial"/>
        <family val="2"/>
      </rPr>
      <t xml:space="preserve"> lotti</t>
    </r>
    <r>
      <rPr>
        <sz val="8"/>
        <rFont val="Arial"/>
        <family val="2"/>
      </rPr>
      <t>.</t>
    </r>
    <r>
      <rPr>
        <b/>
        <sz val="8"/>
        <rFont val="Arial"/>
        <family val="2"/>
      </rPr>
      <t xml:space="preserve"> Lotto 1 OLTRE OCC</t>
    </r>
  </si>
  <si>
    <t>11/03/25  CIG+TG + sito</t>
  </si>
  <si>
    <t>10/04/25 h12</t>
  </si>
  <si>
    <t>12 m + 12 m</t>
  </si>
  <si>
    <t>cons anticipata 25/6/25</t>
  </si>
  <si>
    <r>
      <rPr>
        <b/>
        <sz val="8"/>
        <rFont val="Arial"/>
        <family val="2"/>
      </rPr>
      <t xml:space="preserve">Lavori civili, edili e idraulici su allacci </t>
    </r>
    <r>
      <rPr>
        <sz val="8"/>
        <rFont val="Arial"/>
        <family val="2"/>
      </rPr>
      <t>acquedotto e impianti utenza, suddivisa in 4</t>
    </r>
    <r>
      <rPr>
        <b/>
        <sz val="8"/>
        <rFont val="Arial"/>
        <family val="2"/>
      </rPr>
      <t xml:space="preserve"> lotti</t>
    </r>
    <r>
      <rPr>
        <sz val="8"/>
        <rFont val="Arial"/>
        <family val="2"/>
      </rPr>
      <t>.</t>
    </r>
    <r>
      <rPr>
        <b/>
        <sz val="8"/>
        <rFont val="Arial"/>
        <family val="2"/>
      </rPr>
      <t xml:space="preserve"> Lotto 2 OLTRE ORIENT</t>
    </r>
  </si>
  <si>
    <t>cons anticipata 3/7/25</t>
  </si>
  <si>
    <r>
      <rPr>
        <b/>
        <sz val="8"/>
        <rFont val="Arial"/>
        <family val="2"/>
      </rPr>
      <t xml:space="preserve">Lavori civili, edili e idraulici su allacci </t>
    </r>
    <r>
      <rPr>
        <sz val="8"/>
        <rFont val="Arial"/>
        <family val="2"/>
      </rPr>
      <t>acquedotto e impianti utenza, suddivisa in 4</t>
    </r>
    <r>
      <rPr>
        <b/>
        <sz val="8"/>
        <rFont val="Arial"/>
        <family val="2"/>
      </rPr>
      <t xml:space="preserve"> lotti</t>
    </r>
    <r>
      <rPr>
        <sz val="8"/>
        <rFont val="Arial"/>
        <family val="2"/>
      </rPr>
      <t>.</t>
    </r>
    <r>
      <rPr>
        <b/>
        <sz val="8"/>
        <rFont val="Arial"/>
        <family val="2"/>
      </rPr>
      <t xml:space="preserve"> Lotto 3 PAV</t>
    </r>
  </si>
  <si>
    <t>18/07/25: inizio 21/07/25</t>
  </si>
  <si>
    <r>
      <rPr>
        <b/>
        <sz val="8"/>
        <rFont val="Arial"/>
        <family val="2"/>
      </rPr>
      <t xml:space="preserve">Lavori civili, edili e idraulici su allacci </t>
    </r>
    <r>
      <rPr>
        <sz val="8"/>
        <rFont val="Arial"/>
        <family val="2"/>
      </rPr>
      <t>acquedotto e impianti utenza, suddivisa in 4</t>
    </r>
    <r>
      <rPr>
        <b/>
        <sz val="8"/>
        <rFont val="Arial"/>
        <family val="2"/>
      </rPr>
      <t xml:space="preserve"> lotti</t>
    </r>
    <r>
      <rPr>
        <sz val="8"/>
        <rFont val="Arial"/>
        <family val="2"/>
      </rPr>
      <t>.</t>
    </r>
    <r>
      <rPr>
        <b/>
        <sz val="8"/>
        <rFont val="Arial"/>
        <family val="2"/>
      </rPr>
      <t xml:space="preserve"> Lotto 4 LOM</t>
    </r>
  </si>
  <si>
    <r>
      <t>Bruno Srl</t>
    </r>
    <r>
      <rPr>
        <sz val="8"/>
        <rFont val="Arial"/>
        <family val="2"/>
      </rPr>
      <t xml:space="preserve"> (Milano)</t>
    </r>
  </si>
  <si>
    <r>
      <t xml:space="preserve">Realizzazione interventi di riqualificazione e potenziamento della rete </t>
    </r>
    <r>
      <rPr>
        <b/>
        <sz val="8"/>
        <rFont val="Arial"/>
        <family val="2"/>
      </rPr>
      <t>acquedotto Gropello Cairoli Via Cielo Alto</t>
    </r>
    <r>
      <rPr>
        <sz val="8"/>
        <rFont val="Arial"/>
        <family val="2"/>
      </rPr>
      <t xml:space="preserve"> e limitrofe.</t>
    </r>
  </si>
  <si>
    <t>ID240 e  ID389</t>
  </si>
  <si>
    <t>15/04/25 CIG+TG+sito</t>
  </si>
  <si>
    <t>19/05/25 h12.00</t>
  </si>
  <si>
    <r>
      <t xml:space="preserve">TEKNOSTRADE SRLS </t>
    </r>
    <r>
      <rPr>
        <sz val="8"/>
        <rFont val="Arial"/>
        <family val="2"/>
      </rPr>
      <t>(Isernia - IS)</t>
    </r>
  </si>
  <si>
    <r>
      <t>Adeguamento del sistema fognario dell'Agglomerato AG01807601 (</t>
    </r>
    <r>
      <rPr>
        <b/>
        <sz val="8"/>
        <rFont val="Arial"/>
        <family val="2"/>
      </rPr>
      <t>Gropello Cairoli</t>
    </r>
    <r>
      <rPr>
        <sz val="8"/>
        <rFont val="Arial"/>
        <family val="2"/>
      </rPr>
      <t xml:space="preserve">). </t>
    </r>
    <r>
      <rPr>
        <b/>
        <sz val="8"/>
        <rFont val="Arial"/>
        <family val="2"/>
      </rPr>
      <t>Collettamento</t>
    </r>
    <r>
      <rPr>
        <sz val="8"/>
        <rFont val="Arial"/>
        <family val="2"/>
      </rPr>
      <t xml:space="preserve"> scarichi </t>
    </r>
    <r>
      <rPr>
        <b/>
        <sz val="8"/>
        <rFont val="Arial"/>
        <family val="2"/>
      </rPr>
      <t>Via Zanotti</t>
    </r>
    <r>
      <rPr>
        <sz val="8"/>
        <rFont val="Arial"/>
        <family val="2"/>
      </rPr>
      <t xml:space="preserve"> (Strada del Morgarolo)</t>
    </r>
  </si>
  <si>
    <t>P.N. 12/05/25 (n. 26 albo pva: OG6 PV)</t>
  </si>
  <si>
    <t>29/05/25 h12.00</t>
  </si>
  <si>
    <r>
      <t xml:space="preserve">MERENDA E PODAVITTE SRL </t>
    </r>
    <r>
      <rPr>
        <sz val="8"/>
        <rFont val="Arial"/>
        <family val="2"/>
      </rPr>
      <t>(Confienza - PV)</t>
    </r>
  </si>
  <si>
    <r>
      <t xml:space="preserve">Adeguamento del sistema di fognatura e trattamento degli Agglomerati AG01806902 (Garlasco) e AG01806101 (Dorno) in funzione della riduzione del carico recapitato al Torrente Terdoppio. Verifiche e adeguamento impianto di </t>
    </r>
    <r>
      <rPr>
        <b/>
        <sz val="8"/>
        <rFont val="Arial"/>
        <family val="2"/>
      </rPr>
      <t>depurazione di Garlasco</t>
    </r>
    <r>
      <rPr>
        <sz val="8"/>
        <rFont val="Arial"/>
        <family val="2"/>
      </rPr>
      <t>.</t>
    </r>
  </si>
  <si>
    <t>19/06/25 CIG+TG+sito</t>
  </si>
  <si>
    <t>25/07/25 h12.00</t>
  </si>
  <si>
    <r>
      <t xml:space="preserve">Interventi di risanamento del collettore </t>
    </r>
    <r>
      <rPr>
        <b/>
        <sz val="8"/>
        <rFont val="Arial"/>
        <family val="2"/>
      </rPr>
      <t>fognario</t>
    </r>
    <r>
      <rPr>
        <sz val="8"/>
        <rFont val="Arial"/>
        <family val="2"/>
      </rPr>
      <t xml:space="preserve"> intercomunale </t>
    </r>
    <r>
      <rPr>
        <b/>
        <sz val="8"/>
        <rFont val="Arial"/>
        <family val="2"/>
      </rPr>
      <t>Castelnovetto</t>
    </r>
    <r>
      <rPr>
        <sz val="8"/>
        <rFont val="Arial"/>
        <family val="2"/>
      </rPr>
      <t xml:space="preserve"> – Sant’Angelo Lomellina – Robbio</t>
    </r>
  </si>
  <si>
    <t>P.N. 25/6/25 (n.14 os35)</t>
  </si>
  <si>
    <t>14/07/25 h 12.00</t>
  </si>
  <si>
    <r>
      <t xml:space="preserve">IN.TE.CO S.R.L. </t>
    </r>
    <r>
      <rPr>
        <sz val="8"/>
        <rFont val="Arial"/>
        <family val="2"/>
      </rPr>
      <t xml:space="preserve">(Cambiago MI) 60% </t>
    </r>
    <r>
      <rPr>
        <b/>
        <sz val="8"/>
        <rFont val="Arial"/>
        <family val="2"/>
      </rPr>
      <t xml:space="preserve">ATI con DINAMICA PROJECT SRL </t>
    </r>
    <r>
      <rPr>
        <sz val="8"/>
        <rFont val="Arial"/>
        <family val="2"/>
      </rPr>
      <t>(Treia MC) 40%</t>
    </r>
  </si>
  <si>
    <t>MERENDA E PODAVITTE SRL (Confienza - PV)</t>
  </si>
  <si>
    <t>08/08/24 h 10.00</t>
  </si>
  <si>
    <t>26/7/24: inizio 5/9/24</t>
  </si>
  <si>
    <t>28/8/24: inizio 10/9/24</t>
  </si>
  <si>
    <t>8/8/24: inizio 9/9/24</t>
  </si>
  <si>
    <t>18/9/24: inizio 19/9/24</t>
  </si>
  <si>
    <t>19/7/24: inizio 22/7/24</t>
  </si>
  <si>
    <t>13/9/24: inizio 16/9/24</t>
  </si>
  <si>
    <t>13/11/2023 US</t>
  </si>
  <si>
    <t>P.N. 19/12/22 (ns albo n.4 x emerg idrica)</t>
  </si>
  <si>
    <r>
      <rPr>
        <b/>
        <sz val="8"/>
        <rFont val="Arial"/>
        <family val="2"/>
      </rPr>
      <t>03/04/23 h 12.00</t>
    </r>
  </si>
  <si>
    <t>24/11/23: iniz 27/11</t>
  </si>
  <si>
    <t>5/12/23 x inizio 18/9/23</t>
  </si>
  <si>
    <t>parz. 15/5/23</t>
  </si>
  <si>
    <t>19.1.24 ATTO SOTTOMISSIONE compensaz prezzi DL.50.2022e L.197.2022 bil (lavori 2'sem.23)</t>
  </si>
  <si>
    <t>3/11/23: inizio 6/11/23</t>
  </si>
  <si>
    <t>8/5/23 iniz: 10/5/23</t>
  </si>
  <si>
    <t>24/12/21 GURI +sito +TG; 29/12 n.2quot</t>
  </si>
  <si>
    <t>29/4/24</t>
  </si>
  <si>
    <t>22/12/21; 13/5/22</t>
  </si>
  <si>
    <t>31.01.24 ATTO SOTTOMISSIONE compensazione prezzi DL.50.2022, L.197.22 bil, L.213.23 bil (80% lavori 2023-24)</t>
  </si>
  <si>
    <r>
      <rPr>
        <b/>
        <sz val="8"/>
        <rFont val="Arial"/>
        <family val="2"/>
      </rPr>
      <t>09/04/24</t>
    </r>
    <r>
      <rPr>
        <b/>
        <sz val="7"/>
        <rFont val="Arial"/>
        <family val="2"/>
      </rPr>
      <t xml:space="preserve">
</t>
    </r>
  </si>
  <si>
    <r>
      <rPr>
        <sz val="8"/>
        <rFont val="Arial"/>
        <family val="2"/>
      </rPr>
      <t>14/09/23</t>
    </r>
  </si>
  <si>
    <t>7.3.22 atto aggiuntivo e verb concord nuovi prezzi (lavori urgenti)</t>
  </si>
  <si>
    <t>12.5.23</t>
  </si>
  <si>
    <t xml:space="preserve">16/03/2021 US </t>
  </si>
  <si>
    <t>12/5/20 siti web PVA + TUTTOGARE</t>
  </si>
  <si>
    <t>7/5/20 siti web PVA + TUTTOGARE</t>
  </si>
  <si>
    <t xml:space="preserve">progettaz  + 180 lavori </t>
  </si>
  <si>
    <t>28/11/22 (29/09/22)</t>
  </si>
  <si>
    <r>
      <t xml:space="preserve">Realizzazione della rete di fognatura a servizio delle località Scarpone e </t>
    </r>
    <r>
      <rPr>
        <b/>
        <sz val="8"/>
        <rFont val="Arial"/>
        <family val="2"/>
      </rPr>
      <t>Scagliona</t>
    </r>
    <r>
      <rPr>
        <sz val="8"/>
        <rFont val="Arial"/>
        <family val="2"/>
      </rPr>
      <t xml:space="preserve"> – circoscrizione di Pavia Est – Pavia (PV).</t>
    </r>
  </si>
  <si>
    <r>
      <rPr>
        <b/>
        <sz val="7"/>
        <rFont val="Arial"/>
        <family val="2"/>
      </rPr>
      <t>30/6/20</t>
    </r>
  </si>
  <si>
    <t xml:space="preserve">730+180 </t>
  </si>
  <si>
    <t>cons. 28/9/18</t>
  </si>
  <si>
    <t xml:space="preserve"> 31/8/18</t>
  </si>
  <si>
    <r>
      <t xml:space="preserve">04/07/18 </t>
    </r>
    <r>
      <rPr>
        <sz val="8"/>
        <rFont val="Arial"/>
        <family val="2"/>
      </rPr>
      <t>cons. anticipata</t>
    </r>
  </si>
  <si>
    <t xml:space="preserve">cons. 27/6/18 </t>
  </si>
  <si>
    <r>
      <rPr>
        <b/>
        <sz val="8"/>
        <rFont val="Arial"/>
        <family val="2"/>
      </rPr>
      <t>Borgo S. Siro</t>
    </r>
    <r>
      <rPr>
        <sz val="8"/>
        <rFont val="Arial"/>
        <family val="2"/>
      </rPr>
      <t>/Garlasco: collegamento rete idrica del Comune di Borgo S. Siro a centrale idrica S. Lucia del Comune di Garlasco.</t>
    </r>
  </si>
  <si>
    <t>CONS. SOTTO RIS.LEG. 2/5/18</t>
  </si>
  <si>
    <t>Bonifica degli impianti del Servizio Idrico Integrato della Provincia di Pavia da materiali contenenti amianto.</t>
  </si>
  <si>
    <r>
      <t xml:space="preserve">Comune di </t>
    </r>
    <r>
      <rPr>
        <b/>
        <sz val="8"/>
        <rFont val="Arial"/>
        <family val="2"/>
      </rPr>
      <t>Marzano</t>
    </r>
    <r>
      <rPr>
        <sz val="8"/>
        <rFont val="Arial"/>
        <family val="2"/>
      </rPr>
      <t>. Trivellazione nuovo pozzo ed adeguamento funzionale impianto di potabilizzazione.</t>
    </r>
  </si>
  <si>
    <t>CONS. PARZ. 26/04/18;</t>
  </si>
  <si>
    <r>
      <t xml:space="preserve">Comune di </t>
    </r>
    <r>
      <rPr>
        <b/>
        <sz val="8"/>
        <rFont val="Arial"/>
        <family val="2"/>
      </rPr>
      <t>Sant’Alessio con Vialone</t>
    </r>
    <r>
      <rPr>
        <sz val="8"/>
        <rFont val="Arial"/>
        <family val="2"/>
      </rPr>
      <t>. Rinnovazione rete acquedottistica Via Lardirago – Via Vigorelli.</t>
    </r>
  </si>
  <si>
    <r>
      <t xml:space="preserve">Comune di </t>
    </r>
    <r>
      <rPr>
        <b/>
        <sz val="8"/>
        <rFont val="Arial"/>
        <family val="2"/>
      </rPr>
      <t>Vistarino.</t>
    </r>
    <r>
      <rPr>
        <sz val="8"/>
        <rFont val="Arial"/>
        <family val="2"/>
      </rPr>
      <t xml:space="preserve"> Rifacimento condotto deviatore acque meteoriche in ingresso alla rete fognaria mista di Copiano capoluogo.</t>
    </r>
  </si>
  <si>
    <r>
      <t xml:space="preserve">Comune di </t>
    </r>
    <r>
      <rPr>
        <b/>
        <sz val="8"/>
        <rFont val="Arial"/>
        <family val="2"/>
      </rPr>
      <t>Certosa</t>
    </r>
    <r>
      <rPr>
        <sz val="8"/>
        <rFont val="Arial"/>
        <family val="2"/>
      </rPr>
      <t xml:space="preserve"> di Pavia. Lavori di trivellazione e realizzazione delle opere accessorie alla realizzazione di un pozzo per acqua potabile in Comune di Certosa di Pavia.</t>
    </r>
  </si>
  <si>
    <t>Comune di Travacò Siccomario. Rinnovazione e potenziamento dorsale acquedottistica di collegamento tra capoluogo e Frazione Rotta.</t>
  </si>
  <si>
    <t>Lavori di rinnovazione condotte acquedotto ammalorate - Area Vogherese.</t>
  </si>
  <si>
    <t>Lavori di rinnovazione reti fognarie ammalorate 2016/2017 - Area Oltrepò Vogherese.</t>
  </si>
  <si>
    <t>Comune di Rognano. Riqualificazione del sistema idrico comunale. Realizzazione connessione Rognano – Soncino.</t>
  </si>
  <si>
    <r>
      <t xml:space="preserve">Comune di </t>
    </r>
    <r>
      <rPr>
        <b/>
        <sz val="8"/>
        <rFont val="Arial"/>
        <family val="2"/>
      </rPr>
      <t>Mortara</t>
    </r>
    <r>
      <rPr>
        <sz val="8"/>
        <rFont val="Arial"/>
        <family val="2"/>
      </rPr>
      <t xml:space="preserve">. Rifacimento rete di fognatura in </t>
    </r>
    <r>
      <rPr>
        <b/>
        <sz val="8"/>
        <rFont val="Arial"/>
        <family val="2"/>
      </rPr>
      <t>Strada Milanese.</t>
    </r>
  </si>
  <si>
    <r>
      <t xml:space="preserve">Comuni di </t>
    </r>
    <r>
      <rPr>
        <b/>
        <sz val="8"/>
        <rFont val="Arial"/>
        <family val="2"/>
      </rPr>
      <t>Suardi</t>
    </r>
    <r>
      <rPr>
        <sz val="8"/>
        <rFont val="Arial"/>
        <family val="2"/>
      </rPr>
      <t xml:space="preserve"> e </t>
    </r>
    <r>
      <rPr>
        <b/>
        <sz val="8"/>
        <rFont val="Arial"/>
        <family val="2"/>
      </rPr>
      <t>Stradella</t>
    </r>
    <r>
      <rPr>
        <sz val="8"/>
        <rFont val="Arial"/>
        <family val="2"/>
      </rPr>
      <t>. Risanamento fognature con tecnologia Cured In Place Pipe.</t>
    </r>
  </si>
  <si>
    <t>Comune di Pavia. Lavori di risanamento di condotta fognaria con cured in place pipe. Corso Manzoni (1° stralcio) Pavia Ovest.</t>
  </si>
  <si>
    <r>
      <t xml:space="preserve">Sistema di collettamento delle acque reflue della Valle </t>
    </r>
    <r>
      <rPr>
        <b/>
        <sz val="8"/>
        <rFont val="Arial"/>
        <family val="2"/>
      </rPr>
      <t>Bardoneggia</t>
    </r>
    <r>
      <rPr>
        <sz val="8"/>
        <rFont val="Arial"/>
        <family val="2"/>
      </rPr>
      <t xml:space="preserve"> “Collettore A” a servizio dei comuni di Rovescala e San Damiano al Colle (zona est).</t>
    </r>
  </si>
  <si>
    <r>
      <t xml:space="preserve">Comune di </t>
    </r>
    <r>
      <rPr>
        <b/>
        <sz val="8"/>
        <rFont val="Arial"/>
        <family val="2"/>
      </rPr>
      <t>Cura Carpignano</t>
    </r>
    <r>
      <rPr>
        <sz val="8"/>
        <rFont val="Arial"/>
        <family val="2"/>
      </rPr>
      <t>. Lavori di trivellazione e realizzazione delle opere accessorie alla realizzazione di un pozzo per acqua potabile in Cura Carpignano (PV) capoluogo.</t>
    </r>
  </si>
  <si>
    <r>
      <rPr>
        <b/>
        <sz val="8"/>
        <rFont val="Arial"/>
        <family val="2"/>
      </rPr>
      <t>Montalto Pavese</t>
    </r>
    <r>
      <rPr>
        <sz val="8"/>
        <rFont val="Arial"/>
        <family val="2"/>
      </rPr>
      <t xml:space="preserve">: potenziamento della adduttrice della Valle Scuropasso nel tratto terminale tra la Centrale di Bosco Chiesa e il serbatoio Belvedere di Montalto Pavese e costruzione di un nuovo serbatoio. </t>
    </r>
  </si>
  <si>
    <r>
      <t xml:space="preserve">Collegamento acquedotti civici </t>
    </r>
    <r>
      <rPr>
        <b/>
        <sz val="8"/>
        <rFont val="Arial"/>
        <family val="2"/>
      </rPr>
      <t>Bastida Pancarana e Pizzale - Pancarana.</t>
    </r>
  </si>
  <si>
    <t>CONSEGNA ANTICIPATA  30/11/15</t>
  </si>
  <si>
    <r>
      <t xml:space="preserve">Comune di </t>
    </r>
    <r>
      <rPr>
        <b/>
        <sz val="8"/>
        <rFont val="Arial"/>
        <family val="2"/>
      </rPr>
      <t>San Martino Siccomario</t>
    </r>
    <r>
      <rPr>
        <sz val="8"/>
        <rFont val="Arial"/>
        <family val="2"/>
      </rPr>
      <t>. Completamento delle opere di collettamento fognario da impianto di depurazione intercomunale Rotta Travacò Siccomario a rete fognaria di Pavia.</t>
    </r>
  </si>
  <si>
    <r>
      <t xml:space="preserve">Comune di </t>
    </r>
    <r>
      <rPr>
        <b/>
        <sz val="8"/>
        <rFont val="Arial"/>
        <family val="2"/>
      </rPr>
      <t>Belgioioso.</t>
    </r>
    <r>
      <rPr>
        <sz val="8"/>
        <rFont val="Arial"/>
        <family val="2"/>
      </rPr>
      <t xml:space="preserve"> Interventi di riqualificazione della rete fognaria del Comune di Belgioioso capoluogo. Rilevazione della rete fognaria e interventi di sistemazione della rete fognaria Via Cavallotti, Viale Manzoni e Via Strambio.</t>
    </r>
  </si>
  <si>
    <t>ARNALDO S.R.L.</t>
  </si>
  <si>
    <t xml:space="preserve"> 29/11/16</t>
  </si>
  <si>
    <r>
      <t xml:space="preserve">Collettamento degli scarichi non trattati all’interno del capoluogo (zona C.so Torino – </t>
    </r>
    <r>
      <rPr>
        <b/>
        <sz val="8"/>
        <rFont val="Arial"/>
        <family val="2"/>
      </rPr>
      <t>Zermagnone)</t>
    </r>
    <r>
      <rPr>
        <sz val="8"/>
        <rFont val="Arial"/>
        <family val="2"/>
      </rPr>
      <t xml:space="preserve"> e realizzazione scolmatore di Via Gorizia – Comune di </t>
    </r>
    <r>
      <rPr>
        <b/>
        <sz val="8"/>
        <rFont val="Arial"/>
        <family val="2"/>
      </rPr>
      <t>Mortara</t>
    </r>
    <r>
      <rPr>
        <sz val="8"/>
        <rFont val="Arial"/>
        <family val="2"/>
      </rPr>
      <t>.</t>
    </r>
  </si>
  <si>
    <r>
      <t xml:space="preserve">Sistema di interconnessione acquedotti della pianura Stradellina – Bronese – Casteggiana – Vogherese: connessione Casteggio – Santa Giuletta e realizzazione nuovo pozzo in Casteggio. 1° stralcio funzionale: Connessione Casteggio – </t>
    </r>
    <r>
      <rPr>
        <b/>
        <sz val="8"/>
        <rFont val="Arial"/>
        <family val="2"/>
      </rPr>
      <t>Santa Giuletta</t>
    </r>
    <r>
      <rPr>
        <sz val="8"/>
        <rFont val="Arial"/>
        <family val="2"/>
      </rPr>
      <t>.</t>
    </r>
  </si>
  <si>
    <r>
      <t xml:space="preserve">Comune di </t>
    </r>
    <r>
      <rPr>
        <b/>
        <sz val="8"/>
        <rFont val="Arial"/>
        <family val="2"/>
      </rPr>
      <t>Vigevano</t>
    </r>
    <r>
      <rPr>
        <sz val="8"/>
        <rFont val="Arial"/>
        <family val="2"/>
      </rPr>
      <t>. Estendimento fognatura di Viale Agricoltura e sue adiacenze (</t>
    </r>
    <r>
      <rPr>
        <b/>
        <sz val="8"/>
        <rFont val="Arial"/>
        <family val="2"/>
      </rPr>
      <t>Via Carrel</t>
    </r>
    <r>
      <rPr>
        <sz val="8"/>
        <rFont val="Arial"/>
        <family val="2"/>
      </rPr>
      <t xml:space="preserve">) e di Corso Genova e sue adiacenze (Vie Cattabrega, Primavera e Strada Fogliano) in Vigevano. </t>
    </r>
  </si>
  <si>
    <r>
      <t xml:space="preserve">Comune di </t>
    </r>
    <r>
      <rPr>
        <b/>
        <sz val="8"/>
        <rFont val="Arial"/>
        <family val="2"/>
      </rPr>
      <t>Vistarino.</t>
    </r>
    <r>
      <rPr>
        <sz val="8"/>
        <rFont val="Arial"/>
        <family val="2"/>
      </rPr>
      <t xml:space="preserve"> Rinnovazione e potenziamento della rete acquedottistica a servizio delle Vie Vivente e Repubblica.</t>
    </r>
  </si>
  <si>
    <r>
      <t xml:space="preserve">Opere inerenti la tombinatura dei collettori fognari a cielo aperto in Comune di </t>
    </r>
    <r>
      <rPr>
        <b/>
        <sz val="8"/>
        <rFont val="Arial"/>
        <family val="2"/>
      </rPr>
      <t>Voghera</t>
    </r>
    <r>
      <rPr>
        <sz val="8"/>
        <rFont val="Arial"/>
        <family val="2"/>
      </rPr>
      <t xml:space="preserve"> (</t>
    </r>
    <r>
      <rPr>
        <b/>
        <sz val="8"/>
        <rFont val="Arial"/>
        <family val="2"/>
      </rPr>
      <t>Cavo Lagozzo</t>
    </r>
    <r>
      <rPr>
        <sz val="8"/>
        <rFont val="Arial"/>
        <family val="2"/>
      </rPr>
      <t xml:space="preserve"> e Canale dei Mulini, fino all’impianto di depurazione) - 1° lotto.</t>
    </r>
  </si>
  <si>
    <r>
      <t xml:space="preserve">Sistemazione tratto terminale della fossa comunale - 1° stralcio - </t>
    </r>
    <r>
      <rPr>
        <b/>
        <sz val="8"/>
        <rFont val="Arial"/>
        <family val="2"/>
      </rPr>
      <t>Sant’Angelo Lomellina</t>
    </r>
    <r>
      <rPr>
        <sz val="8"/>
        <rFont val="Arial"/>
        <family val="2"/>
      </rPr>
      <t>.</t>
    </r>
  </si>
  <si>
    <r>
      <t xml:space="preserve">Comune di </t>
    </r>
    <r>
      <rPr>
        <b/>
        <sz val="8"/>
        <rFont val="Arial"/>
        <family val="2"/>
      </rPr>
      <t>Pieve Porto Morone</t>
    </r>
    <r>
      <rPr>
        <sz val="8"/>
        <rFont val="Arial"/>
        <family val="2"/>
      </rPr>
      <t>. Rinnovazione rete acquedottistica a servizio della Strada Cà dei Peroni e limitrofe.</t>
    </r>
  </si>
  <si>
    <r>
      <t xml:space="preserve">Interventi prioritari di potenziamento dell’impianto di depurazione comunale di </t>
    </r>
    <r>
      <rPr>
        <b/>
        <sz val="8"/>
        <rFont val="Arial"/>
        <family val="2"/>
      </rPr>
      <t>Cava Manara</t>
    </r>
    <r>
      <rPr>
        <sz val="8"/>
        <rFont val="Arial"/>
        <family val="2"/>
      </rPr>
      <t xml:space="preserve"> (PV). </t>
    </r>
  </si>
  <si>
    <r>
      <t xml:space="preserve">Comune di </t>
    </r>
    <r>
      <rPr>
        <b/>
        <sz val="8"/>
        <rFont val="Arial"/>
        <family val="2"/>
      </rPr>
      <t>Siziano.</t>
    </r>
    <r>
      <rPr>
        <sz val="8"/>
        <rFont val="Arial"/>
        <family val="2"/>
      </rPr>
      <t xml:space="preserve"> Potenziamento trattamento e disinfezione finale. </t>
    </r>
  </si>
  <si>
    <r>
      <t xml:space="preserve">Lavori di adeguamento funzionale dell'impianto di depurazione consortile di </t>
    </r>
    <r>
      <rPr>
        <b/>
        <sz val="8"/>
        <rFont val="Arial"/>
        <family val="2"/>
      </rPr>
      <t>Mede</t>
    </r>
    <r>
      <rPr>
        <sz val="8"/>
        <rFont val="Arial"/>
        <family val="2"/>
      </rPr>
      <t xml:space="preserve"> - 3' intervento. </t>
    </r>
  </si>
  <si>
    <r>
      <t xml:space="preserve">Comune di </t>
    </r>
    <r>
      <rPr>
        <b/>
        <sz val="8"/>
        <rFont val="Arial"/>
        <family val="2"/>
      </rPr>
      <t>Santa Cristina e Bissone</t>
    </r>
    <r>
      <rPr>
        <sz val="8"/>
        <rFont val="Arial"/>
        <family val="2"/>
      </rPr>
      <t>. Potenziamento del depuratore per il trattamento degli scarichi di Corteolona.</t>
    </r>
  </si>
  <si>
    <r>
      <t xml:space="preserve">Realizzazione opere di collettamento da </t>
    </r>
    <r>
      <rPr>
        <b/>
        <sz val="8"/>
        <rFont val="Arial"/>
        <family val="2"/>
      </rPr>
      <t>Borgo Priolo</t>
    </r>
    <r>
      <rPr>
        <sz val="8"/>
        <rFont val="Arial"/>
        <family val="2"/>
      </rPr>
      <t xml:space="preserve"> per depuratore di Casteggio. </t>
    </r>
  </si>
  <si>
    <r>
      <t xml:space="preserve">Realizzazione della rete di collettamento acque reflue di </t>
    </r>
    <r>
      <rPr>
        <b/>
        <sz val="8"/>
        <rFont val="Arial"/>
        <family val="2"/>
      </rPr>
      <t>Vidigulfo</t>
    </r>
    <r>
      <rPr>
        <sz val="8"/>
        <rFont val="Arial"/>
        <family val="2"/>
      </rPr>
      <t xml:space="preserve"> capoluogo (PV) verso impianto di depurazione di futura realizzazione. </t>
    </r>
  </si>
  <si>
    <r>
      <t xml:space="preserve">Comune di </t>
    </r>
    <r>
      <rPr>
        <b/>
        <sz val="8"/>
        <rFont val="Arial"/>
        <family val="2"/>
      </rPr>
      <t>Voghera</t>
    </r>
    <r>
      <rPr>
        <sz val="8"/>
        <rFont val="Arial"/>
        <family val="2"/>
      </rPr>
      <t xml:space="preserve">. Estendimento rete fognaria in parti del capoluogo non servite - </t>
    </r>
    <r>
      <rPr>
        <b/>
        <sz val="8"/>
        <rFont val="Arial"/>
        <family val="2"/>
      </rPr>
      <t>Via Lipari e Via Casella</t>
    </r>
    <r>
      <rPr>
        <sz val="8"/>
        <rFont val="Arial"/>
        <family val="2"/>
      </rPr>
      <t xml:space="preserve"> - con laterali e limitrofe. </t>
    </r>
  </si>
  <si>
    <r>
      <t xml:space="preserve">Manutenzione straordinaria rete fognatura Via Chiesa – Frazione </t>
    </r>
    <r>
      <rPr>
        <b/>
        <sz val="8"/>
        <rFont val="Arial"/>
        <family val="2"/>
      </rPr>
      <t>Balossa Bigli</t>
    </r>
    <r>
      <rPr>
        <sz val="8"/>
        <rFont val="Arial"/>
        <family val="2"/>
      </rPr>
      <t xml:space="preserve">. </t>
    </r>
  </si>
  <si>
    <r>
      <t xml:space="preserve">Realizzazione della rete di collettamento acque reflue a servizio del </t>
    </r>
    <r>
      <rPr>
        <b/>
        <sz val="8"/>
        <rFont val="Arial"/>
        <family val="2"/>
      </rPr>
      <t>Quartiere Piave a Broni</t>
    </r>
    <r>
      <rPr>
        <sz val="8"/>
        <rFont val="Arial"/>
        <family val="2"/>
      </rPr>
      <t xml:space="preserve">. </t>
    </r>
  </si>
  <si>
    <r>
      <t xml:space="preserve">Realizzazione connessione rete fognaria delle Frazioni </t>
    </r>
    <r>
      <rPr>
        <b/>
        <sz val="8"/>
        <rFont val="Arial"/>
        <family val="2"/>
      </rPr>
      <t>Battella e Chiavica</t>
    </r>
    <r>
      <rPr>
        <sz val="8"/>
        <rFont val="Arial"/>
        <family val="2"/>
      </rPr>
      <t xml:space="preserve"> alla rete fognaria di </t>
    </r>
    <r>
      <rPr>
        <b/>
        <sz val="8"/>
        <rFont val="Arial"/>
        <family val="2"/>
      </rPr>
      <t>Pavia</t>
    </r>
    <r>
      <rPr>
        <sz val="8"/>
        <rFont val="Arial"/>
        <family val="2"/>
      </rPr>
      <t xml:space="preserve"> in Comune di Travacò Siccomario. </t>
    </r>
  </si>
  <si>
    <r>
      <t xml:space="preserve">Comune di </t>
    </r>
    <r>
      <rPr>
        <b/>
        <sz val="8"/>
        <rFont val="Arial"/>
        <family val="2"/>
      </rPr>
      <t>Voghera</t>
    </r>
    <r>
      <rPr>
        <sz val="8"/>
        <rFont val="Arial"/>
        <family val="2"/>
      </rPr>
      <t xml:space="preserve">. Estendimento fognatura </t>
    </r>
    <r>
      <rPr>
        <b/>
        <sz val="8"/>
        <rFont val="Arial"/>
        <family val="2"/>
      </rPr>
      <t>Via Piacenza</t>
    </r>
    <r>
      <rPr>
        <sz val="8"/>
        <rFont val="Arial"/>
        <family val="2"/>
      </rPr>
      <t xml:space="preserve">: stralcio 1. </t>
    </r>
  </si>
  <si>
    <r>
      <t xml:space="preserve">Rifacimento e sostituzione tratti della fognatura comunale di </t>
    </r>
    <r>
      <rPr>
        <b/>
        <sz val="8"/>
        <rFont val="Arial"/>
        <family val="2"/>
      </rPr>
      <t>Rovescala</t>
    </r>
    <r>
      <rPr>
        <sz val="8"/>
        <rFont val="Arial"/>
        <family val="2"/>
      </rPr>
      <t xml:space="preserve"> (Via Borroni - Centro sportivo).</t>
    </r>
  </si>
  <si>
    <r>
      <t xml:space="preserve">Depuratore </t>
    </r>
    <r>
      <rPr>
        <b/>
        <sz val="8"/>
        <rFont val="Arial"/>
        <family val="2"/>
      </rPr>
      <t>Verrua Po</t>
    </r>
    <r>
      <rPr>
        <sz val="8"/>
        <rFont val="Arial"/>
        <family val="2"/>
      </rPr>
      <t xml:space="preserve">. Fornitura macchinari e apparecchiature: impianto di pretrattamento. </t>
    </r>
  </si>
  <si>
    <r>
      <t xml:space="preserve">Comune di </t>
    </r>
    <r>
      <rPr>
        <b/>
        <sz val="8"/>
        <rFont val="Arial"/>
        <family val="2"/>
      </rPr>
      <t>Ruino</t>
    </r>
    <r>
      <rPr>
        <sz val="8"/>
        <rFont val="Arial"/>
        <family val="2"/>
      </rPr>
      <t xml:space="preserve">. Realizzazione di un tratto di fognatura comunale in località Carmine - Casa Zanolo. </t>
    </r>
  </si>
  <si>
    <r>
      <t xml:space="preserve">Comune di </t>
    </r>
    <r>
      <rPr>
        <b/>
        <sz val="8"/>
        <rFont val="Arial"/>
        <family val="2"/>
      </rPr>
      <t>Cassolnovo:</t>
    </r>
    <r>
      <rPr>
        <sz val="8"/>
        <rFont val="Arial"/>
        <family val="2"/>
      </rPr>
      <t xml:space="preserve"> rifacimento acquedotto di Via Roma. </t>
    </r>
  </si>
  <si>
    <r>
      <t xml:space="preserve">Comune di </t>
    </r>
    <r>
      <rPr>
        <b/>
        <sz val="8"/>
        <rFont val="Arial"/>
        <family val="2"/>
      </rPr>
      <t>Trivolzio.</t>
    </r>
    <r>
      <rPr>
        <sz val="8"/>
        <rFont val="Arial"/>
        <family val="2"/>
      </rPr>
      <t xml:space="preserve"> Realizzazione opere di sistemazione della rete fognaria comunale Via Pampuri con adeguamento opere di scarico in reticolo superficiale. </t>
    </r>
  </si>
  <si>
    <r>
      <t xml:space="preserve">Ampliamento funzionale impianto di depurazione Comune di </t>
    </r>
    <r>
      <rPr>
        <b/>
        <sz val="8"/>
        <rFont val="Arial"/>
        <family val="2"/>
      </rPr>
      <t>Gambolò</t>
    </r>
    <r>
      <rPr>
        <sz val="8"/>
        <rFont val="Arial"/>
        <family val="2"/>
      </rPr>
      <t xml:space="preserve"> (PV) - Opere edili. </t>
    </r>
  </si>
  <si>
    <r>
      <t xml:space="preserve">Comune di </t>
    </r>
    <r>
      <rPr>
        <b/>
        <sz val="8"/>
        <rFont val="Arial"/>
        <family val="2"/>
      </rPr>
      <t>Pavia</t>
    </r>
    <r>
      <rPr>
        <sz val="8"/>
        <rFont val="Arial"/>
        <family val="2"/>
      </rPr>
      <t xml:space="preserve">. Rinnovazione della rete acquedottistica e fognaria del centro storico. </t>
    </r>
    <r>
      <rPr>
        <b/>
        <sz val="8"/>
        <rFont val="Arial"/>
        <family val="2"/>
      </rPr>
      <t>Via Santa Maria alle Pertiche</t>
    </r>
    <r>
      <rPr>
        <sz val="8"/>
        <rFont val="Arial"/>
        <family val="2"/>
      </rPr>
      <t xml:space="preserve"> e Corso Cairoli. </t>
    </r>
  </si>
  <si>
    <r>
      <t>Data consegna lavori</t>
    </r>
    <r>
      <rPr>
        <sz val="7"/>
        <rFont val="Arial"/>
        <family val="2"/>
      </rPr>
      <t xml:space="preserve"> (entro 45 gg da stipula)</t>
    </r>
  </si>
  <si>
    <r>
      <t xml:space="preserve">Lavori di modifica dell’impianto di trattamento acquedotto del Comune di Gambolò, fraz. </t>
    </r>
    <r>
      <rPr>
        <b/>
        <sz val="8"/>
        <rFont val="Arial"/>
        <family val="2"/>
      </rPr>
      <t>Garbana e Remondò</t>
    </r>
    <r>
      <rPr>
        <sz val="8"/>
        <rFont val="Arial"/>
        <family val="2"/>
      </rPr>
      <t xml:space="preserve">: opere elettromeccaniche e collegamenti idraulici. </t>
    </r>
  </si>
  <si>
    <r>
      <t xml:space="preserve">Lavori di POTENZIAMENTO E ADEGUAMENTO DELL’IMPIANTO DI </t>
    </r>
    <r>
      <rPr>
        <b/>
        <sz val="8"/>
        <rFont val="Arial"/>
        <family val="2"/>
      </rPr>
      <t>DEPURAZIONE INTERCOMUNALE DI BRONI</t>
    </r>
    <r>
      <rPr>
        <sz val="8"/>
        <rFont val="Arial"/>
        <family val="2"/>
      </rPr>
      <t xml:space="preserve"> – CIG 0413557E04</t>
    </r>
  </si>
  <si>
    <r>
      <t xml:space="preserve">ATI Siba-Asiotti </t>
    </r>
    <r>
      <rPr>
        <sz val="8"/>
        <rFont val="Arial"/>
        <family val="2"/>
      </rPr>
      <t>(SIBA nel gruppo VEOLIA Water Technologies Italia SpA)</t>
    </r>
  </si>
  <si>
    <r>
      <t xml:space="preserve">INTERVENTI PRIORITARI DI POTENZIAMENTO DELL’IMPIANTO DI </t>
    </r>
    <r>
      <rPr>
        <b/>
        <sz val="8"/>
        <rFont val="Arial"/>
        <family val="2"/>
      </rPr>
      <t>DEPURAZIONE INTERCOMUNALE DI PAVIA</t>
    </r>
    <r>
      <rPr>
        <sz val="8"/>
        <rFont val="Arial"/>
        <family val="2"/>
      </rPr>
      <t xml:space="preserve"> – CIG 0414179F4E</t>
    </r>
  </si>
  <si>
    <r>
      <t xml:space="preserve">Lavori di collettamento Valle Versa – collegamento della frazione Fontanelle e limitrofe di </t>
    </r>
    <r>
      <rPr>
        <b/>
        <sz val="8"/>
        <rFont val="Arial"/>
        <family val="2"/>
      </rPr>
      <t>Zenevredo</t>
    </r>
    <r>
      <rPr>
        <sz val="8"/>
        <rFont val="Arial"/>
        <family val="2"/>
      </rPr>
      <t xml:space="preserve"> al collettore intercomunale recapitante all’impianto di depurazione di Stradella – CIG 0421368BDC.</t>
    </r>
  </si>
  <si>
    <r>
      <t xml:space="preserve">Lavori di collettamento liquami fognatura </t>
    </r>
    <r>
      <rPr>
        <b/>
        <sz val="8"/>
        <rFont val="Arial"/>
        <family val="2"/>
      </rPr>
      <t>San Giorgio – Lomello</t>
    </r>
    <r>
      <rPr>
        <sz val="8"/>
        <rFont val="Arial"/>
        <family val="2"/>
      </rPr>
      <t xml:space="preserve"> – CIG 042134373C.</t>
    </r>
  </si>
  <si>
    <r>
      <t xml:space="preserve">Lavori di potenziamento della rete fognaria di </t>
    </r>
    <r>
      <rPr>
        <b/>
        <sz val="8"/>
        <rFont val="Arial"/>
        <family val="2"/>
      </rPr>
      <t>VIA ZANACHI e VIA RIVIERA in Comune di Pavia</t>
    </r>
    <r>
      <rPr>
        <sz val="8"/>
        <rFont val="Arial"/>
        <family val="2"/>
      </rPr>
      <t xml:space="preserve"> (potenziamento Collettore Ovest).</t>
    </r>
  </si>
  <si>
    <r>
      <t xml:space="preserve">Intervento 1 – </t>
    </r>
    <r>
      <rPr>
        <b/>
        <sz val="8"/>
        <rFont val="Arial"/>
        <family val="2"/>
      </rPr>
      <t>Depuratore di VIGEVANO</t>
    </r>
    <r>
      <rPr>
        <sz val="8"/>
        <rFont val="Arial"/>
        <family val="2"/>
      </rPr>
      <t>: potenziamento, denitrificazione, ossidazione, nitrificazione; defosfatazione, vasche volano di prima pioggia e grigliatura fine sul by-pass; opere di presa e collegamenti.</t>
    </r>
  </si>
  <si>
    <t>ATI IVCES / SAGIDEP; dal 3/10/12 ATI CEFER / SAGIDEP (Sagidep incorporata da SIBA dal 31/12/12); CEFER / VEOLIA Water Technologies Italia SpA</t>
  </si>
  <si>
    <r>
      <t xml:space="preserve">Potenziamento e ristrutturazione del sistema di approvvigionamento e potabilizzazione della rete idrica distributrice dell'acquedotto comunale di </t>
    </r>
    <r>
      <rPr>
        <b/>
        <sz val="8"/>
        <rFont val="Arial"/>
        <family val="2"/>
      </rPr>
      <t>Belgioioso.</t>
    </r>
  </si>
  <si>
    <r>
      <rPr>
        <b/>
        <sz val="8"/>
        <rFont val="Arial"/>
        <family val="2"/>
      </rPr>
      <t>BREME:</t>
    </r>
    <r>
      <rPr>
        <sz val="8"/>
        <rFont val="Arial"/>
        <family val="2"/>
      </rPr>
      <t xml:space="preserve"> nuovo impianto di potabilizzazione del Comune di Breme a fronte della carenza idrica derivante dalla diminuzione di portata delle attuali fonti di approvvigionamento.</t>
    </r>
  </si>
  <si>
    <r>
      <t xml:space="preserve">Interventi prioritari di potenziamento dell'impianto di </t>
    </r>
    <r>
      <rPr>
        <b/>
        <sz val="8"/>
        <rFont val="Arial"/>
        <family val="2"/>
      </rPr>
      <t>depurazione intercomunale di VOGHERA</t>
    </r>
    <r>
      <rPr>
        <sz val="8"/>
        <rFont val="Arial"/>
        <family val="2"/>
      </rPr>
      <t>. CIG 0421295F9D</t>
    </r>
  </si>
  <si>
    <r>
      <t xml:space="preserve">Costruzione nuova fognatura in </t>
    </r>
    <r>
      <rPr>
        <b/>
        <sz val="8"/>
        <rFont val="Arial"/>
        <family val="2"/>
      </rPr>
      <t xml:space="preserve">Frazione Medaglia - Comune di Mortara. </t>
    </r>
    <r>
      <rPr>
        <sz val="8"/>
        <rFont val="Arial"/>
        <family val="2"/>
      </rPr>
      <t>CIG 1037632901.</t>
    </r>
  </si>
  <si>
    <r>
      <t xml:space="preserve">Lavori di trivellazione e realizzazione delle opere accessorie alla realizzazione di un pozzo per acqua potabile in Comune di </t>
    </r>
    <r>
      <rPr>
        <b/>
        <sz val="8"/>
        <rFont val="Arial"/>
        <family val="2"/>
      </rPr>
      <t>Linarolo</t>
    </r>
    <r>
      <rPr>
        <sz val="8"/>
        <rFont val="Arial"/>
        <family val="2"/>
      </rPr>
      <t xml:space="preserve"> (PV) capoluogo. CIG 0512718446.</t>
    </r>
  </si>
  <si>
    <r>
      <t xml:space="preserve">Interventi prioritari di potenziamento impianto di depurazione intercomunale di </t>
    </r>
    <r>
      <rPr>
        <b/>
        <sz val="8"/>
        <rFont val="Arial"/>
        <family val="2"/>
      </rPr>
      <t>Casteggio</t>
    </r>
    <r>
      <rPr>
        <sz val="8"/>
        <rFont val="Arial"/>
        <family val="2"/>
      </rPr>
      <t>. CIG 3023457BA2.</t>
    </r>
  </si>
  <si>
    <r>
      <t xml:space="preserve">ATI TECNECOS  Srl con ICES Srl e </t>
    </r>
    <r>
      <rPr>
        <b/>
        <strike/>
        <sz val="8"/>
        <rFont val="Arial"/>
        <family val="2"/>
      </rPr>
      <t>SIEMENS SpA</t>
    </r>
    <r>
      <rPr>
        <b/>
        <sz val="8"/>
        <rFont val="Arial"/>
        <family val="2"/>
      </rPr>
      <t xml:space="preserve"> dal 1/10/13 Siemens Water Technologies Srl</t>
    </r>
  </si>
  <si>
    <r>
      <t xml:space="preserve">Lavori urgenti di terebrazione nuovo pozzo a seguito del cedimento del pozzo esistente in Comune di Cura Carpignano località </t>
    </r>
    <r>
      <rPr>
        <b/>
        <sz val="8"/>
        <rFont val="Arial"/>
        <family val="2"/>
      </rPr>
      <t>Vedria.</t>
    </r>
    <r>
      <rPr>
        <sz val="8"/>
        <rFont val="Arial"/>
        <family val="2"/>
      </rPr>
      <t xml:space="preserve"> </t>
    </r>
  </si>
  <si>
    <r>
      <t xml:space="preserve">Comune di </t>
    </r>
    <r>
      <rPr>
        <b/>
        <sz val="8"/>
        <rFont val="Arial"/>
        <family val="2"/>
      </rPr>
      <t>Giussago.</t>
    </r>
    <r>
      <rPr>
        <sz val="8"/>
        <rFont val="Arial"/>
        <family val="2"/>
      </rPr>
      <t xml:space="preserve"> Rifacimento fognatura di Via Roma. CIG 129606175D.</t>
    </r>
  </si>
  <si>
    <r>
      <t xml:space="preserve">Comune di </t>
    </r>
    <r>
      <rPr>
        <b/>
        <sz val="8"/>
        <rFont val="Arial"/>
        <family val="2"/>
      </rPr>
      <t>Voghera</t>
    </r>
    <r>
      <rPr>
        <sz val="8"/>
        <rFont val="Arial"/>
        <family val="2"/>
      </rPr>
      <t xml:space="preserve"> – Rifacimento rete acquedottistica Via Cavour</t>
    </r>
  </si>
  <si>
    <r>
      <t xml:space="preserve">Estensione rete fognatura in Via Caccialupa – Comune di </t>
    </r>
    <r>
      <rPr>
        <b/>
        <sz val="8"/>
        <rFont val="Arial"/>
        <family val="2"/>
      </rPr>
      <t>Mede.</t>
    </r>
  </si>
  <si>
    <r>
      <t xml:space="preserve">Depuratore </t>
    </r>
    <r>
      <rPr>
        <b/>
        <sz val="8"/>
        <rFont val="Arial"/>
        <family val="2"/>
      </rPr>
      <t>Mortara</t>
    </r>
    <r>
      <rPr>
        <sz val="8"/>
        <rFont val="Arial"/>
        <family val="2"/>
      </rPr>
      <t xml:space="preserve"> - Frazione Casoni S. Albino; primo stralcio, realizzazione collettore fognario.</t>
    </r>
  </si>
  <si>
    <r>
      <t xml:space="preserve">Manutenzione straordinaria torre pensile acquedotto Via Cordara - Comune di </t>
    </r>
    <r>
      <rPr>
        <b/>
        <sz val="8"/>
        <rFont val="Arial"/>
        <family val="2"/>
      </rPr>
      <t>Dorno.</t>
    </r>
  </si>
  <si>
    <r>
      <t xml:space="preserve">Intervento impermeabilizzazione Pensile via Cordara – Comune di </t>
    </r>
    <r>
      <rPr>
        <b/>
        <sz val="8"/>
        <rFont val="Arial"/>
        <family val="2"/>
      </rPr>
      <t>Dorno</t>
    </r>
    <r>
      <rPr>
        <sz val="8"/>
        <rFont val="Arial"/>
        <family val="2"/>
      </rPr>
      <t xml:space="preserve">. </t>
    </r>
  </si>
  <si>
    <r>
      <t xml:space="preserve">Lavori di realizzazione del Depuratore del Comune di Mortara frazione Casoni </t>
    </r>
    <r>
      <rPr>
        <b/>
        <sz val="8"/>
        <rFont val="Arial"/>
        <family val="2"/>
      </rPr>
      <t>S. Albino - 2' stralcio - opere civili</t>
    </r>
    <r>
      <rPr>
        <sz val="8"/>
        <rFont val="Arial"/>
        <family val="2"/>
      </rPr>
      <t xml:space="preserve">. </t>
    </r>
  </si>
  <si>
    <r>
      <t xml:space="preserve">Ampliamento funzionale impianto di depurazione Comune di </t>
    </r>
    <r>
      <rPr>
        <b/>
        <sz val="8"/>
        <rFont val="Arial"/>
        <family val="2"/>
      </rPr>
      <t>Gambolò</t>
    </r>
    <r>
      <rPr>
        <sz val="8"/>
        <rFont val="Arial"/>
        <family val="2"/>
      </rPr>
      <t xml:space="preserve"> (PV) - Opere meccaniche.</t>
    </r>
  </si>
  <si>
    <r>
      <t xml:space="preserve">Ampliamento funzionale impianto di depurazione Comune di </t>
    </r>
    <r>
      <rPr>
        <b/>
        <sz val="8"/>
        <rFont val="Arial"/>
        <family val="2"/>
      </rPr>
      <t>Gambolò</t>
    </r>
    <r>
      <rPr>
        <sz val="8"/>
        <rFont val="Arial"/>
        <family val="2"/>
      </rPr>
      <t xml:space="preserve"> (PV) - Opere elettriche. </t>
    </r>
  </si>
  <si>
    <r>
      <t xml:space="preserve">Ampliamento funzionale impianto di depurazione Comune di </t>
    </r>
    <r>
      <rPr>
        <b/>
        <sz val="8"/>
        <rFont val="Arial"/>
        <family val="2"/>
      </rPr>
      <t>Gambolò</t>
    </r>
    <r>
      <rPr>
        <sz val="8"/>
        <rFont val="Arial"/>
        <family val="2"/>
      </rPr>
      <t xml:space="preserve"> (PV) - Servizio di pulizia vasche. </t>
    </r>
  </si>
  <si>
    <r>
      <t xml:space="preserve">Ampliamento funzionale impianto di depurazione Comune di </t>
    </r>
    <r>
      <rPr>
        <b/>
        <sz val="8"/>
        <rFont val="Arial"/>
        <family val="2"/>
      </rPr>
      <t>Gambolò</t>
    </r>
    <r>
      <rPr>
        <sz val="8"/>
        <rFont val="Arial"/>
        <family val="2"/>
      </rPr>
      <t xml:space="preserve"> (PV) - Fornitura misuratori di portata e livello. </t>
    </r>
  </si>
  <si>
    <r>
      <t xml:space="preserve">Ampliamento funzionale impianto di depurazione Comune di </t>
    </r>
    <r>
      <rPr>
        <b/>
        <sz val="8"/>
        <rFont val="Arial"/>
        <family val="2"/>
      </rPr>
      <t>Gambolò</t>
    </r>
    <r>
      <rPr>
        <sz val="8"/>
        <rFont val="Arial"/>
        <family val="2"/>
      </rPr>
      <t xml:space="preserve"> (PV) - Fornitura pompe sommerse mixer e diffusori. </t>
    </r>
  </si>
  <si>
    <r>
      <t xml:space="preserve">Ampliamento funzionale impianto di depurazione Comune di </t>
    </r>
    <r>
      <rPr>
        <b/>
        <sz val="8"/>
        <rFont val="Arial"/>
        <family val="2"/>
      </rPr>
      <t>Gambolò</t>
    </r>
    <r>
      <rPr>
        <sz val="8"/>
        <rFont val="Arial"/>
        <family val="2"/>
      </rPr>
      <t xml:space="preserve"> (PV) - Fornitura pompe peristaltiche. </t>
    </r>
  </si>
  <si>
    <r>
      <t xml:space="preserve">Ampliamento funzionale impianto di depurazione Comune di </t>
    </r>
    <r>
      <rPr>
        <b/>
        <sz val="8"/>
        <rFont val="Arial"/>
        <family val="2"/>
      </rPr>
      <t>Gambolò</t>
    </r>
    <r>
      <rPr>
        <sz val="8"/>
        <rFont val="Arial"/>
        <family val="2"/>
      </rPr>
      <t xml:space="preserve"> (PV) - Forn.pretrattamenti iniziali. </t>
    </r>
  </si>
  <si>
    <r>
      <t xml:space="preserve">Ampliamento funzionale impianto di depurazione Comune di </t>
    </r>
    <r>
      <rPr>
        <b/>
        <sz val="8"/>
        <rFont val="Arial"/>
        <family val="2"/>
      </rPr>
      <t>Gambolò</t>
    </r>
    <r>
      <rPr>
        <sz val="8"/>
        <rFont val="Arial"/>
        <family val="2"/>
      </rPr>
      <t xml:space="preserve"> (PV) - Forn.sistema di ottimizzazione del processo. </t>
    </r>
  </si>
  <si>
    <r>
      <t xml:space="preserve">Ampliamento funzionale impianto di depurazione Comune di </t>
    </r>
    <r>
      <rPr>
        <b/>
        <sz val="8"/>
        <rFont val="Arial"/>
        <family val="2"/>
      </rPr>
      <t>Gambolò</t>
    </r>
    <r>
      <rPr>
        <sz val="8"/>
        <rFont val="Arial"/>
        <family val="2"/>
      </rPr>
      <t xml:space="preserve"> (PV) - Forn.soffianti. </t>
    </r>
  </si>
  <si>
    <r>
      <t xml:space="preserve">Ampliamento funzionale impianto di depurazione Comune di </t>
    </r>
    <r>
      <rPr>
        <b/>
        <sz val="8"/>
        <rFont val="Arial"/>
        <family val="2"/>
      </rPr>
      <t>Gambolò</t>
    </r>
    <r>
      <rPr>
        <sz val="8"/>
        <rFont val="Arial"/>
        <family val="2"/>
      </rPr>
      <t xml:space="preserve"> (PV) - Forn.valvole e paratoie. </t>
    </r>
  </si>
  <si>
    <r>
      <t xml:space="preserve">Ampliamento funzionale impianto di depurazione Comune di </t>
    </r>
    <r>
      <rPr>
        <b/>
        <sz val="8"/>
        <rFont val="Arial"/>
        <family val="2"/>
      </rPr>
      <t>Gambolò</t>
    </r>
    <r>
      <rPr>
        <sz val="8"/>
        <rFont val="Arial"/>
        <family val="2"/>
      </rPr>
      <t xml:space="preserve"> (PV) - Forn. serbatoio cloruro ferrico. </t>
    </r>
  </si>
  <si>
    <r>
      <t xml:space="preserve">Collettamento reflui all'impianto di depurazione di Mede - Tronco </t>
    </r>
    <r>
      <rPr>
        <b/>
        <sz val="8"/>
        <rFont val="Arial"/>
        <family val="2"/>
      </rPr>
      <t>Frascarolo</t>
    </r>
    <r>
      <rPr>
        <sz val="8"/>
        <rFont val="Arial"/>
        <family val="2"/>
      </rPr>
      <t xml:space="preserve"> / Torre Beretti. </t>
    </r>
  </si>
  <si>
    <r>
      <t>Brogioli SRL</t>
    </r>
    <r>
      <rPr>
        <b/>
        <sz val="7"/>
        <rFont val="Arial"/>
        <family val="2"/>
      </rPr>
      <t xml:space="preserve"> </t>
    </r>
    <r>
      <rPr>
        <sz val="7"/>
        <rFont val="Arial"/>
        <family val="2"/>
      </rPr>
      <t>(Pieve del Cairo)</t>
    </r>
  </si>
  <si>
    <r>
      <t xml:space="preserve">Collettamento liquami fognatura </t>
    </r>
    <r>
      <rPr>
        <b/>
        <sz val="8"/>
        <rFont val="Arial"/>
        <family val="2"/>
      </rPr>
      <t>Ottobiano</t>
    </r>
    <r>
      <rPr>
        <sz val="8"/>
        <rFont val="Arial"/>
        <family val="2"/>
      </rPr>
      <t xml:space="preserve"> - incrocio ex SS211 con strada Cascina Brella.</t>
    </r>
  </si>
  <si>
    <r>
      <rPr>
        <b/>
        <sz val="8"/>
        <rFont val="Arial"/>
        <family val="2"/>
      </rPr>
      <t>PECORA SPA</t>
    </r>
    <r>
      <rPr>
        <sz val="7"/>
        <rFont val="Arial"/>
        <family val="2"/>
      </rPr>
      <t xml:space="preserve"> (Pieve del Cairo)</t>
    </r>
  </si>
  <si>
    <r>
      <t xml:space="preserve">11/2/14 Affid. al 2'class. </t>
    </r>
    <r>
      <rPr>
        <b/>
        <sz val="8"/>
        <rFont val="Arial"/>
        <family val="2"/>
      </rPr>
      <t>GIAVAZZI SRL</t>
    </r>
    <r>
      <rPr>
        <sz val="7"/>
        <rFont val="Arial"/>
        <family val="2"/>
      </rPr>
      <t xml:space="preserve"> (Cornaredo). Contratto per 131.543,18.</t>
    </r>
  </si>
  <si>
    <r>
      <rPr>
        <b/>
        <sz val="8"/>
        <rFont val="Arial"/>
        <family val="2"/>
      </rPr>
      <t>CERUTTI Costruz. SRL</t>
    </r>
    <r>
      <rPr>
        <sz val="7"/>
        <rFont val="Arial"/>
        <family val="2"/>
      </rPr>
      <t xml:space="preserve"> (Montecalvo V.)</t>
    </r>
  </si>
  <si>
    <r>
      <t>ASM Lavori Srl</t>
    </r>
    <r>
      <rPr>
        <sz val="8"/>
        <rFont val="Arial"/>
        <family val="2"/>
      </rPr>
      <t xml:space="preserve"> (Pavia)</t>
    </r>
  </si>
  <si>
    <r>
      <rPr>
        <b/>
        <sz val="8"/>
        <rFont val="Arial"/>
        <family val="2"/>
      </rPr>
      <t>ARROS SpA</t>
    </r>
    <r>
      <rPr>
        <sz val="8"/>
        <rFont val="Arial"/>
        <family val="2"/>
      </rPr>
      <t xml:space="preserve"> (Broni)</t>
    </r>
  </si>
  <si>
    <r>
      <rPr>
        <b/>
        <sz val="8"/>
        <rFont val="Arial"/>
        <family val="2"/>
      </rPr>
      <t xml:space="preserve">Cazzola Srl </t>
    </r>
    <r>
      <rPr>
        <sz val="8"/>
        <rFont val="Arial"/>
        <family val="2"/>
      </rPr>
      <t>(Pinarolo Po)</t>
    </r>
  </si>
  <si>
    <r>
      <rPr>
        <b/>
        <sz val="8"/>
        <rFont val="Arial"/>
        <family val="2"/>
      </rPr>
      <t xml:space="preserve">Caffù Srl </t>
    </r>
    <r>
      <rPr>
        <sz val="8"/>
        <rFont val="Arial"/>
        <family val="2"/>
      </rPr>
      <t>(Carbonara al Ticino)</t>
    </r>
  </si>
  <si>
    <r>
      <rPr>
        <sz val="7"/>
        <rFont val="Arial"/>
        <family val="2"/>
      </rPr>
      <t xml:space="preserve">Interventi prioritari di potenziamento dell’impianto di depurazione comunale di </t>
    </r>
    <r>
      <rPr>
        <b/>
        <sz val="7"/>
        <rFont val="Arial"/>
        <family val="2"/>
      </rPr>
      <t>Cava Manara</t>
    </r>
    <r>
      <rPr>
        <sz val="7"/>
        <rFont val="Arial"/>
        <family val="2"/>
      </rPr>
      <t xml:space="preserve"> (PV). </t>
    </r>
    <r>
      <rPr>
        <sz val="8"/>
        <rFont val="Arial"/>
        <family val="2"/>
      </rPr>
      <t xml:space="preserve">Fornitura macchinari e apparecchiature: impianto di </t>
    </r>
    <r>
      <rPr>
        <u/>
        <sz val="8"/>
        <rFont val="Arial"/>
        <family val="2"/>
      </rPr>
      <t>pretrattamento.</t>
    </r>
    <r>
      <rPr>
        <sz val="8"/>
        <rFont val="Arial"/>
        <family val="2"/>
      </rPr>
      <t xml:space="preserve"> </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</si>
  <si>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t>
    </r>
    <r>
      <rPr>
        <u/>
        <sz val="8"/>
        <rFont val="Arial"/>
        <family val="2"/>
      </rPr>
      <t>compressori.</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</si>
  <si>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t>
    </r>
    <r>
      <rPr>
        <u/>
        <sz val="8"/>
        <rFont val="Arial"/>
        <family val="2"/>
      </rPr>
      <t>elettropompe sommergibili e mixer</t>
    </r>
    <r>
      <rPr>
        <sz val="8"/>
        <rFont val="Arial"/>
        <family val="2"/>
      </rPr>
      <t xml:space="preserve">. </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</si>
  <si>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t>
    </r>
    <r>
      <rPr>
        <u/>
        <sz val="8"/>
        <rFont val="Arial"/>
        <family val="2"/>
      </rPr>
      <t>impianto disidratazione fanghi</t>
    </r>
    <r>
      <rPr>
        <sz val="8"/>
        <rFont val="Arial"/>
        <family val="2"/>
      </rPr>
      <t xml:space="preserve">. </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</si>
  <si>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t>
    </r>
    <r>
      <rPr>
        <u/>
        <sz val="8"/>
        <rFont val="Arial"/>
        <family val="2"/>
      </rPr>
      <t>griglia iniziale</t>
    </r>
    <r>
      <rPr>
        <sz val="8"/>
        <rFont val="Arial"/>
        <family val="2"/>
      </rPr>
      <t xml:space="preserve">. </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</si>
  <si>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t>
    </r>
    <r>
      <rPr>
        <u/>
        <sz val="8"/>
        <rFont val="Arial"/>
        <family val="2"/>
      </rPr>
      <t>quadri elettrici cabina MT e quadri elettrici BT</t>
    </r>
    <r>
      <rPr>
        <sz val="8"/>
        <rFont val="Arial"/>
        <family val="2"/>
      </rPr>
      <t>.</t>
    </r>
  </si>
  <si>
    <r>
      <t xml:space="preserve">Interventi prioritari di potenziamento dell’impianto di depurazione comunale di </t>
    </r>
    <r>
      <rPr>
        <b/>
        <sz val="8"/>
        <rFont val="Arial"/>
        <family val="2"/>
      </rPr>
      <t>Cava Manara</t>
    </r>
    <r>
      <rPr>
        <sz val="8"/>
        <rFont val="Arial"/>
        <family val="2"/>
      </rPr>
      <t xml:space="preserve"> (PV). FORNITURA MEMBRANE.</t>
    </r>
  </si>
  <si>
    <r>
      <t xml:space="preserve">Interventi prioritari di potenziamento dell’impianto di depurazione comunale di </t>
    </r>
    <r>
      <rPr>
        <b/>
        <sz val="8"/>
        <rFont val="Arial"/>
        <family val="2"/>
      </rPr>
      <t>Cava Manara</t>
    </r>
    <r>
      <rPr>
        <sz val="8"/>
        <rFont val="Arial"/>
        <family val="2"/>
      </rPr>
      <t xml:space="preserve"> (PV). Fornitura macchinari e apparecchiature: diffusori aria.</t>
    </r>
  </si>
  <si>
    <r>
      <t xml:space="preserve">Comune di </t>
    </r>
    <r>
      <rPr>
        <b/>
        <sz val="8"/>
        <rFont val="Arial"/>
        <family val="2"/>
      </rPr>
      <t>Ceranova.</t>
    </r>
    <r>
      <rPr>
        <sz val="8"/>
        <rFont val="Arial"/>
        <family val="2"/>
      </rPr>
      <t xml:space="preserve"> Trivellazione nuovo pozzo ed adeguamento funzionale impianto di potabilizzazione – 1° stralcio: trivellazione urgente nuovo pozzo. </t>
    </r>
  </si>
  <si>
    <r>
      <rPr>
        <b/>
        <sz val="8"/>
        <rFont val="Arial"/>
        <family val="2"/>
      </rPr>
      <t>Tecno Afes</t>
    </r>
    <r>
      <rPr>
        <sz val="8"/>
        <rFont val="Arial"/>
        <family val="2"/>
      </rPr>
      <t xml:space="preserve"> (Codogno LO)</t>
    </r>
  </si>
  <si>
    <r>
      <t xml:space="preserve">Comune di </t>
    </r>
    <r>
      <rPr>
        <b/>
        <sz val="8"/>
        <rFont val="Arial"/>
        <family val="2"/>
      </rPr>
      <t>Torrevecchia Pia</t>
    </r>
    <r>
      <rPr>
        <sz val="8"/>
        <rFont val="Arial"/>
        <family val="2"/>
      </rPr>
      <t>. Completamento del collettore fognario via Molino. CIG 5647216610.</t>
    </r>
  </si>
  <si>
    <r>
      <rPr>
        <b/>
        <sz val="8"/>
        <rFont val="Arial"/>
        <family val="2"/>
      </rPr>
      <t>ARROS</t>
    </r>
    <r>
      <rPr>
        <sz val="8"/>
        <rFont val="Arial"/>
        <family val="2"/>
      </rPr>
      <t xml:space="preserve"> (Broni)</t>
    </r>
  </si>
  <si>
    <r>
      <t xml:space="preserve">Comune di </t>
    </r>
    <r>
      <rPr>
        <b/>
        <sz val="8"/>
        <rFont val="Arial"/>
        <family val="2"/>
      </rPr>
      <t>Pavia</t>
    </r>
    <r>
      <rPr>
        <sz val="8"/>
        <rFont val="Arial"/>
        <family val="2"/>
      </rPr>
      <t xml:space="preserve">. Realizzazione rete fognaria </t>
    </r>
    <r>
      <rPr>
        <b/>
        <sz val="8"/>
        <rFont val="Arial"/>
        <family val="2"/>
      </rPr>
      <t>Via Cascina Spelta</t>
    </r>
    <r>
      <rPr>
        <sz val="8"/>
        <rFont val="Arial"/>
        <family val="2"/>
      </rPr>
      <t xml:space="preserve"> e realizzazione rete fognaria </t>
    </r>
    <r>
      <rPr>
        <b/>
        <sz val="8"/>
        <rFont val="Arial"/>
        <family val="2"/>
      </rPr>
      <t>Via Poma</t>
    </r>
    <r>
      <rPr>
        <sz val="8"/>
        <rFont val="Arial"/>
        <family val="2"/>
      </rPr>
      <t>.</t>
    </r>
  </si>
  <si>
    <r>
      <rPr>
        <b/>
        <sz val="8"/>
        <rFont val="Arial"/>
        <family val="2"/>
      </rPr>
      <t xml:space="preserve">CO.E.S.I. SRL </t>
    </r>
    <r>
      <rPr>
        <sz val="8"/>
        <rFont val="Arial"/>
        <family val="2"/>
      </rPr>
      <t>(Scaldasole PV)</t>
    </r>
  </si>
  <si>
    <r>
      <t xml:space="preserve">Intervento di ripristino serbatoio pensile </t>
    </r>
    <r>
      <rPr>
        <b/>
        <sz val="8"/>
        <rFont val="Arial"/>
        <family val="2"/>
      </rPr>
      <t>Via Scocchellina - Comune di Parona.</t>
    </r>
  </si>
  <si>
    <r>
      <t xml:space="preserve">Comune di Voghera. Adeguamento cavo Lagozzo tratto da FF.SS. a </t>
    </r>
    <r>
      <rPr>
        <b/>
        <sz val="8"/>
        <rFont val="Arial"/>
        <family val="2"/>
      </rPr>
      <t>Via Nenni.</t>
    </r>
  </si>
  <si>
    <r>
      <t xml:space="preserve">06/07/2017  </t>
    </r>
    <r>
      <rPr>
        <sz val="7"/>
        <rFont val="Arial"/>
        <family val="2"/>
      </rPr>
      <t>(NB: ANTICIPATO 20% CONTRATTO)</t>
    </r>
  </si>
  <si>
    <r>
      <t xml:space="preserve">Comune di Voghera. Potenziamento rete fognaria comunale in </t>
    </r>
    <r>
      <rPr>
        <b/>
        <sz val="8"/>
        <rFont val="Arial"/>
        <family val="2"/>
      </rPr>
      <t>Via Barenghi.</t>
    </r>
  </si>
  <si>
    <r>
      <t xml:space="preserve">20/06/17 </t>
    </r>
    <r>
      <rPr>
        <sz val="7"/>
        <rFont val="Arial"/>
        <family val="2"/>
      </rPr>
      <t>(NB: ANTICIPATO 20% CONTRATTO)</t>
    </r>
  </si>
  <si>
    <r>
      <t xml:space="preserve">COMUNI DI PAVIA, TORRE D’ISOLA, CERANOVA. ADEGUAMENTO E POTENZIAMENTO IMPIANTI DI POTABILIZZAZIONE”. CUP H31E16000510005 – CIG 7031489847 </t>
    </r>
    <r>
      <rPr>
        <u/>
        <sz val="8"/>
        <rFont val="Arial"/>
        <family val="2"/>
      </rPr>
      <t>(FILTRI)</t>
    </r>
  </si>
  <si>
    <r>
      <t xml:space="preserve">13/11/2017 </t>
    </r>
    <r>
      <rPr>
        <sz val="7"/>
        <rFont val="Arial"/>
        <family val="2"/>
      </rPr>
      <t>(NB: ANTICIPATO 20% CONTRATTO)</t>
    </r>
  </si>
  <si>
    <r>
      <t xml:space="preserve">09/11/2017 </t>
    </r>
    <r>
      <rPr>
        <sz val="7"/>
        <rFont val="Arial"/>
        <family val="2"/>
      </rPr>
      <t>(NB: ANTICIPATO 20% CONTRATTO)</t>
    </r>
  </si>
  <si>
    <t>26/02/18</t>
  </si>
  <si>
    <t>28/02/2018 (NB: ANTICIPATO 20% CONTRATTO)</t>
  </si>
  <si>
    <t>02/03/2018 (NB: ANTICIPATO 20% CONTRATTO)</t>
  </si>
  <si>
    <r>
      <t>24/05/2018</t>
    </r>
    <r>
      <rPr>
        <sz val="8"/>
        <rFont val="Arial"/>
        <family val="2"/>
      </rPr>
      <t xml:space="preserve"> (NB: ANTICIPATO 20% CONTRATTO)</t>
    </r>
  </si>
  <si>
    <r>
      <t xml:space="preserve">26/06/2018 </t>
    </r>
    <r>
      <rPr>
        <sz val="8"/>
        <rFont val="Arial"/>
        <family val="2"/>
      </rPr>
      <t xml:space="preserve"> (NB: ANTICIPATO 20% CONTRATTO)</t>
    </r>
  </si>
  <si>
    <r>
      <t xml:space="preserve">23/07/2018 </t>
    </r>
    <r>
      <rPr>
        <sz val="8"/>
        <rFont val="Arial"/>
        <family val="2"/>
      </rPr>
      <t xml:space="preserve"> (NB: ANTICIPATO 20% CONTRATTO)</t>
    </r>
  </si>
  <si>
    <r>
      <rPr>
        <b/>
        <sz val="8"/>
        <rFont val="Arial"/>
        <family val="2"/>
      </rPr>
      <t xml:space="preserve">03/08/18 </t>
    </r>
    <r>
      <rPr>
        <sz val="8"/>
        <rFont val="Arial"/>
        <family val="2"/>
      </rPr>
      <t xml:space="preserve"> (NB: ANTICIPATO 20% CONTRATTO)</t>
    </r>
  </si>
  <si>
    <r>
      <t xml:space="preserve">01/10/2018 </t>
    </r>
    <r>
      <rPr>
        <sz val="8"/>
        <rFont val="Arial"/>
        <family val="2"/>
      </rPr>
      <t>(NB: ANTICIPATO 20% CONTRATTO)</t>
    </r>
  </si>
  <si>
    <r>
      <t>18/10/2018</t>
    </r>
    <r>
      <rPr>
        <sz val="8"/>
        <rFont val="Arial"/>
        <family val="2"/>
      </rPr>
      <t xml:space="preserve"> (NB: ANTICIPATO 20% CONTRATTO)</t>
    </r>
  </si>
  <si>
    <r>
      <t>23/10/2018</t>
    </r>
    <r>
      <rPr>
        <sz val="8"/>
        <rFont val="Arial"/>
        <family val="2"/>
      </rPr>
      <t xml:space="preserve">  (NB: ANTICIPATO 20% CONTRATTO)</t>
    </r>
  </si>
  <si>
    <r>
      <t>12/12/2018</t>
    </r>
    <r>
      <rPr>
        <sz val="8"/>
        <rFont val="Arial"/>
        <family val="2"/>
      </rPr>
      <t xml:space="preserve"> (NB: ANTICIPATO 20% CONTRATTO)</t>
    </r>
  </si>
  <si>
    <r>
      <rPr>
        <b/>
        <sz val="8"/>
        <rFont val="Arial"/>
        <family val="2"/>
      </rPr>
      <t>23/07/19</t>
    </r>
    <r>
      <rPr>
        <sz val="8"/>
        <rFont val="Arial"/>
        <family val="2"/>
      </rPr>
      <t xml:space="preserve"> (NB: ANTICIPATO 20% CONTRATTO)</t>
    </r>
  </si>
  <si>
    <r>
      <t>29/03/19</t>
    </r>
    <r>
      <rPr>
        <sz val="8"/>
        <rFont val="Arial"/>
        <family val="2"/>
      </rPr>
      <t xml:space="preserve"> (NB: ANTICIPATO 20% CONTRATTO)</t>
    </r>
  </si>
  <si>
    <r>
      <t>12/04/2019</t>
    </r>
    <r>
      <rPr>
        <sz val="8"/>
        <rFont val="Arial"/>
        <family val="2"/>
      </rPr>
      <t xml:space="preserve"> (NB: ANTICIPO 20% CONTRATTO)</t>
    </r>
  </si>
  <si>
    <r>
      <t>14/05/2019</t>
    </r>
    <r>
      <rPr>
        <sz val="8"/>
        <rFont val="Arial"/>
        <family val="2"/>
      </rPr>
      <t xml:space="preserve"> (NB: ANTICIPO 20% CONTRATTO)</t>
    </r>
  </si>
  <si>
    <r>
      <t>24/05/2019</t>
    </r>
    <r>
      <rPr>
        <sz val="8"/>
        <rFont val="Arial"/>
        <family val="2"/>
      </rPr>
      <t xml:space="preserve"> (NB: ANTICIPO 20% CONTRATTO)</t>
    </r>
  </si>
  <si>
    <t>Realizzazione dorsale idrica di trasporto dalla pianura vogherese verso l’area di Montebello della Battaglia/Casteggio e verso l’alta collina – Tratto Godiasco-Salice Terme-Varzi. GREENWAY</t>
  </si>
  <si>
    <r>
      <t>Suardi SpA</t>
    </r>
    <r>
      <rPr>
        <sz val="8"/>
        <rFont val="Arial"/>
        <family val="2"/>
      </rPr>
      <t xml:space="preserve"> (Predore - BG) 51% </t>
    </r>
    <r>
      <rPr>
        <b/>
        <sz val="8"/>
        <rFont val="Arial"/>
        <family val="2"/>
      </rPr>
      <t>ATI</t>
    </r>
    <r>
      <rPr>
        <sz val="8"/>
        <rFont val="Arial"/>
        <family val="2"/>
      </rPr>
      <t xml:space="preserve"> con </t>
    </r>
    <r>
      <rPr>
        <b/>
        <sz val="8"/>
        <rFont val="Arial"/>
        <family val="2"/>
      </rPr>
      <t>SANGALLI SPA</t>
    </r>
    <r>
      <rPr>
        <sz val="8"/>
        <rFont val="Arial"/>
        <family val="2"/>
      </rPr>
      <t xml:space="preserve"> (Mapello -BG) 49%</t>
    </r>
  </si>
  <si>
    <r>
      <rPr>
        <b/>
        <sz val="8"/>
        <rFont val="Arial"/>
        <family val="2"/>
      </rPr>
      <t>02/09/2019</t>
    </r>
    <r>
      <rPr>
        <sz val="8"/>
        <rFont val="Arial"/>
        <family val="2"/>
      </rPr>
      <t xml:space="preserve"> (NB: ANTICIPO 20% CONTRATTO)</t>
    </r>
  </si>
  <si>
    <r>
      <t xml:space="preserve">Opere complementari alle "Opere di difesa idraulica dell'abitato di </t>
    </r>
    <r>
      <rPr>
        <b/>
        <sz val="8"/>
        <rFont val="Arial"/>
        <family val="2"/>
      </rPr>
      <t>Arena Po</t>
    </r>
    <r>
      <rPr>
        <sz val="8"/>
        <rFont val="Arial"/>
        <family val="2"/>
      </rPr>
      <t>" inerenti il sistema fognario interferente - Capoluogo: dismissione imhoff di Via Mandelli e collettamento scarico non trattato - Rev. 1. (Prog.Def…...)</t>
    </r>
  </si>
  <si>
    <t>13/06/2019 (NB: ANTICIPO 20% CONTRATTO)</t>
  </si>
  <si>
    <t>10/07/2019 (NB: ANTICIPO 20% CONTRATTO)</t>
  </si>
  <si>
    <t>20/9 iniz: 22/9/19</t>
  </si>
  <si>
    <r>
      <t xml:space="preserve">Realizzazione di un nuovo schema depurativo, con contestuali interventi di adeguamento delle reti di </t>
    </r>
    <r>
      <rPr>
        <b/>
        <sz val="7"/>
        <rFont val="Arial"/>
        <family val="2"/>
      </rPr>
      <t>fognatura</t>
    </r>
    <r>
      <rPr>
        <sz val="7"/>
        <rFont val="Arial"/>
        <family val="2"/>
      </rPr>
      <t xml:space="preserve"> ed eliminazione di terminali non trattati, a servizio degli Agglomerati AG01800404 (</t>
    </r>
    <r>
      <rPr>
        <b/>
        <sz val="7"/>
        <rFont val="Arial"/>
        <family val="2"/>
      </rPr>
      <t>Albuzzano</t>
    </r>
    <r>
      <rPr>
        <sz val="7"/>
        <rFont val="Arial"/>
        <family val="2"/>
      </rPr>
      <t>), AG01800401 (Albuzzano - Barona), AG01800403 (Albuzzano - Vigalfo), AG01806001 (Cura Carpignano), AG01806002 (Cura Carpignano - Calignano), NI01806004 (Cura Carpignano - Dossino), AG01808001 (Lardirago), AG01812901 (Roncaro) e AG01814101 (Sant'Alessio con Vialone) (ID321) (Prog.Def. 2.300.000)</t>
    </r>
  </si>
  <si>
    <r>
      <t xml:space="preserve">06/09/2019 (NB: ANTICIPO 20% CONTRATTO; ago.2020 aumentato al </t>
    </r>
    <r>
      <rPr>
        <b/>
        <sz val="8"/>
        <rFont val="Arial"/>
        <family val="2"/>
      </rPr>
      <t>30%</t>
    </r>
    <r>
      <rPr>
        <sz val="8"/>
        <rFont val="Arial"/>
        <family val="2"/>
      </rPr>
      <t>)</t>
    </r>
  </si>
  <si>
    <t>28/08/2019 (NB: ANTICIPO 20% CONTRATTO)</t>
  </si>
  <si>
    <r>
      <rPr>
        <sz val="8"/>
        <rFont val="Arial"/>
        <family val="2"/>
      </rPr>
      <t>18/11/20</t>
    </r>
  </si>
  <si>
    <r>
      <rPr>
        <b/>
        <sz val="8"/>
        <rFont val="Arial"/>
        <family val="2"/>
      </rPr>
      <t xml:space="preserve">Gaudioso Lavori S.r.l. </t>
    </r>
    <r>
      <rPr>
        <sz val="8"/>
        <rFont val="Arial"/>
        <family val="2"/>
      </rPr>
      <t>(Latronico -PZ); REVOCATA Agg. Provv. RE.CO.GE. Srl (Paternò - CT)</t>
    </r>
  </si>
  <si>
    <t>29/08/2019 (NB: ANTICIPO 20% CONTRATTO)</t>
  </si>
  <si>
    <t xml:space="preserve">4/10/19 </t>
  </si>
  <si>
    <t>1/10/19 (NB: ANTICIPO 20% CONTRATTO)</t>
  </si>
  <si>
    <t>595: 449</t>
  </si>
  <si>
    <t>30/8/19</t>
  </si>
  <si>
    <t>16/09/19 (NB: ANTICIPO 20% CONTRATTO)</t>
  </si>
  <si>
    <r>
      <t xml:space="preserve">17.01.22 compensazione prezzi DL 73.2021-L.106.2021 € </t>
    </r>
    <r>
      <rPr>
        <b/>
        <sz val="8"/>
        <rFont val="Arial"/>
        <family val="2"/>
      </rPr>
      <t>14.879,42</t>
    </r>
    <r>
      <rPr>
        <sz val="8"/>
        <rFont val="Arial"/>
        <family val="2"/>
      </rPr>
      <t xml:space="preserve"> (x lavori 1'sem.21) (senza integrazione contratto perché al momento c'è capienza in neta)</t>
    </r>
  </si>
  <si>
    <r>
      <t xml:space="preserve">ARROS </t>
    </r>
    <r>
      <rPr>
        <sz val="8"/>
        <rFont val="Arial"/>
        <family val="2"/>
      </rPr>
      <t>(Broni - PV)</t>
    </r>
  </si>
  <si>
    <t>30/08/2019 (NB: ANTICIPO 20% CONTRATTO)</t>
  </si>
  <si>
    <t>05/09/2019 (NB: ANTICIPO 20% CONTRATTO)</t>
  </si>
  <si>
    <r>
      <t>Sensus Italia Srl</t>
    </r>
    <r>
      <rPr>
        <sz val="8"/>
        <rFont val="Arial"/>
        <family val="2"/>
      </rPr>
      <t xml:space="preserve"> (Milano)</t>
    </r>
  </si>
  <si>
    <t>20/11/2019 (NB: ANTICIPO 20% CONTRATTO)</t>
  </si>
  <si>
    <r>
      <t>CO.E.SE COSTRUZIONI E SERVIZI. Srl</t>
    </r>
    <r>
      <rPr>
        <sz val="8"/>
        <rFont val="Arial"/>
        <family val="2"/>
      </rPr>
      <t xml:space="preserve"> (Arese MI) </t>
    </r>
    <r>
      <rPr>
        <b/>
        <sz val="8"/>
        <rFont val="Arial"/>
        <family val="2"/>
      </rPr>
      <t>ATI con Bruno Spa</t>
    </r>
    <r>
      <rPr>
        <sz val="8"/>
        <rFont val="Arial"/>
        <family val="2"/>
      </rPr>
      <t xml:space="preserve"> (Milano)</t>
    </r>
  </si>
  <si>
    <t>28/11/2019  (NB: ANTICIPO 20% CONTRATTO)</t>
  </si>
  <si>
    <t>18/2/20 (NB: ANTICIPO 20% CONTRATTO)</t>
  </si>
  <si>
    <t>13/5/20 (NB: ANTICIPO 20% CONTRATTO)</t>
  </si>
  <si>
    <t>11/12/19 (NB: ANTICIPO 20% CONTRATTO)</t>
  </si>
  <si>
    <t>19/11/19 (NB: ANTICIPO 20% CONTRATTO)</t>
  </si>
  <si>
    <t>12/12/19 (NB: dati x ANTICIPATO 20% CONTRATTO)</t>
  </si>
  <si>
    <t>21/01/20 (NB: ANTICIPO 20% CONTRATTO)</t>
  </si>
  <si>
    <t>14/01/20 (NB: ANTICIPO 20% CONTRATTO)</t>
  </si>
  <si>
    <r>
      <rPr>
        <sz val="7"/>
        <rFont val="Arial"/>
        <family val="2"/>
      </rPr>
      <t xml:space="preserve">30/6/20 Affid. al 2'class. </t>
    </r>
    <r>
      <rPr>
        <sz val="8"/>
        <rFont val="Arial"/>
        <family val="2"/>
      </rPr>
      <t>LC GENERAL SCAVI S.R.L. (Cilavegna PV)</t>
    </r>
  </si>
  <si>
    <t>31/01/2020 (NB: ANTICIPO 20% CONTRATTO)</t>
  </si>
  <si>
    <t>23/01/2020 (NB: ANTICIPO 20% CONTRATTO)</t>
  </si>
  <si>
    <t>20/01/20 (NB: ANTICIPO 20% CONTRATTO)</t>
  </si>
  <si>
    <t>05/02/2020 (NB: ANTICIPO 20% CONTRATTO)</t>
  </si>
  <si>
    <t>27/01/2020 (NB: ANTICIPO 20% CONTRATTO)</t>
  </si>
  <si>
    <t>16/01/2020 (NB: ANTICIPO 20% CONTRATTO)</t>
  </si>
  <si>
    <t>16/01/2020 (NB: ANTICIPO 20% CONTRATTO); 25/11/20 nc e bonifico restituzione anticipo</t>
  </si>
  <si>
    <r>
      <t>4</t>
    </r>
    <r>
      <rPr>
        <sz val="7"/>
        <rFont val="Arial"/>
        <family val="2"/>
      </rPr>
      <t xml:space="preserve">/11/20 Affid. al 2'class. </t>
    </r>
    <r>
      <rPr>
        <sz val="8"/>
        <rFont val="Arial"/>
        <family val="2"/>
      </rPr>
      <t>LC GENERAL SCAVI S.R.L. (Cilavegna PV)</t>
    </r>
  </si>
  <si>
    <t>19/02/20 (NB: ANTICIPO 20% CONTRATTO)</t>
  </si>
  <si>
    <t>20/02/20 (NB: ANTICIPO 20% CONTRATTO)</t>
  </si>
  <si>
    <r>
      <t>Bio System Company Srl</t>
    </r>
    <r>
      <rPr>
        <sz val="8"/>
        <rFont val="Arial"/>
        <family val="2"/>
      </rPr>
      <t xml:space="preserve"> (Matera) 75% </t>
    </r>
    <r>
      <rPr>
        <b/>
        <sz val="8"/>
        <rFont val="Arial"/>
        <family val="2"/>
      </rPr>
      <t xml:space="preserve">ATI </t>
    </r>
    <r>
      <rPr>
        <sz val="8"/>
        <rFont val="Arial"/>
        <family val="2"/>
      </rPr>
      <t xml:space="preserve">con </t>
    </r>
    <r>
      <rPr>
        <b/>
        <sz val="8"/>
        <rFont val="Arial"/>
        <family val="2"/>
      </rPr>
      <t>E.D.A. Technology Srl</t>
    </r>
    <r>
      <rPr>
        <sz val="8"/>
        <rFont val="Arial"/>
        <family val="2"/>
      </rPr>
      <t xml:space="preserve"> di Lonate Ceppino (VA) 25% (Progettista: ACS INTERNATIONAL ENGINEERING S.R.L di Castel Gandolfo RM)</t>
    </r>
  </si>
  <si>
    <t>12/05/2020 (NB: ANTICIPO 20% CONTRATTO)</t>
  </si>
  <si>
    <t>30/01/20 (NB: ANTICIPO 20% CONTRATTO)</t>
  </si>
  <si>
    <t>04/09/2020 (NB: ANTICIPO 20% CONTRATTO)</t>
  </si>
  <si>
    <r>
      <rPr>
        <b/>
        <sz val="8"/>
        <rFont val="Arial"/>
        <family val="2"/>
      </rPr>
      <t>20/05/20</t>
    </r>
    <r>
      <rPr>
        <sz val="8"/>
        <rFont val="Arial"/>
        <family val="2"/>
      </rPr>
      <t xml:space="preserve"> Albo Pretorio comune Bascapè e PVA; siti web</t>
    </r>
  </si>
  <si>
    <r>
      <t xml:space="preserve">10/09/2020 (NB: ANTICIPO </t>
    </r>
    <r>
      <rPr>
        <b/>
        <sz val="8"/>
        <rFont val="Arial"/>
        <family val="2"/>
      </rPr>
      <t>30%</t>
    </r>
    <r>
      <rPr>
        <sz val="8"/>
        <rFont val="Arial"/>
        <family val="2"/>
      </rPr>
      <t xml:space="preserve"> CONTRATTO)</t>
    </r>
  </si>
  <si>
    <r>
      <t xml:space="preserve">20/10/2020 (NB: ANTICIPO </t>
    </r>
    <r>
      <rPr>
        <b/>
        <sz val="8"/>
        <rFont val="Arial"/>
        <family val="2"/>
      </rPr>
      <t>30%</t>
    </r>
    <r>
      <rPr>
        <sz val="8"/>
        <rFont val="Arial"/>
        <family val="2"/>
      </rPr>
      <t xml:space="preserve"> CONTRATTO)</t>
    </r>
  </si>
  <si>
    <r>
      <t xml:space="preserve">02/09/2020 (NB: ANTICIPO </t>
    </r>
    <r>
      <rPr>
        <b/>
        <sz val="8"/>
        <rFont val="Arial"/>
        <family val="2"/>
      </rPr>
      <t>30%</t>
    </r>
    <r>
      <rPr>
        <sz val="8"/>
        <rFont val="Arial"/>
        <family val="2"/>
      </rPr>
      <t xml:space="preserve"> CONTRATTO)</t>
    </r>
  </si>
  <si>
    <r>
      <t xml:space="preserve">2/2/21 US (NB: ANTICIPO </t>
    </r>
    <r>
      <rPr>
        <b/>
        <sz val="8"/>
        <rFont val="Arial"/>
        <family val="2"/>
      </rPr>
      <t>30%</t>
    </r>
    <r>
      <rPr>
        <sz val="8"/>
        <rFont val="Arial"/>
        <family val="2"/>
      </rPr>
      <t xml:space="preserve"> CONTRATTO)</t>
    </r>
  </si>
  <si>
    <r>
      <t xml:space="preserve">8/2/21 US (NB: ANTICIPO </t>
    </r>
    <r>
      <rPr>
        <b/>
        <sz val="8"/>
        <rFont val="Arial"/>
        <family val="2"/>
      </rPr>
      <t>30%</t>
    </r>
    <r>
      <rPr>
        <sz val="8"/>
        <rFont val="Arial"/>
        <family val="2"/>
      </rPr>
      <t xml:space="preserve"> CONTRATTO)</t>
    </r>
  </si>
  <si>
    <r>
      <t xml:space="preserve">12/04/2021 US </t>
    </r>
    <r>
      <rPr>
        <sz val="8"/>
        <rFont val="Arial"/>
        <family val="2"/>
      </rPr>
      <t>(NB: ANTICIPO 30% CONTRATTO)</t>
    </r>
  </si>
  <si>
    <t>01.04.22 Atto sottomissione e verb concord nuovi prezzi n.2 + 11.07.22 DL 73.2021 (LAV2'SEM.21) EURO 14.023,01</t>
  </si>
  <si>
    <r>
      <t xml:space="preserve">27/07/2021 US </t>
    </r>
    <r>
      <rPr>
        <sz val="8"/>
        <rFont val="Arial"/>
        <family val="2"/>
      </rPr>
      <t>(NB: ANTICIPO 30% CONTRATTO)</t>
    </r>
  </si>
  <si>
    <r>
      <t>07/10/2021 US</t>
    </r>
    <r>
      <rPr>
        <sz val="8"/>
        <rFont val="Arial"/>
        <family val="2"/>
      </rPr>
      <t xml:space="preserve">  (NB: ANTICIPO 30% CONTRATTO)</t>
    </r>
  </si>
  <si>
    <r>
      <t xml:space="preserve">09/09/2021 US </t>
    </r>
    <r>
      <rPr>
        <sz val="8"/>
        <rFont val="Arial"/>
        <family val="2"/>
      </rPr>
      <t>(NB: ANTICIPO 30% CONTRATTO)</t>
    </r>
  </si>
  <si>
    <r>
      <t xml:space="preserve">10/02/2022 US  </t>
    </r>
    <r>
      <rPr>
        <sz val="8"/>
        <rFont val="Arial"/>
        <family val="2"/>
      </rPr>
      <t>(NB: ANTICIPO 30% CONTRATTO)</t>
    </r>
  </si>
  <si>
    <r>
      <t>17.11.23 atto di sottomissione n.</t>
    </r>
    <r>
      <rPr>
        <strike/>
        <sz val="8"/>
        <rFont val="Arial"/>
        <family val="2"/>
      </rPr>
      <t>8</t>
    </r>
    <r>
      <rPr>
        <sz val="8"/>
        <rFont val="Arial"/>
        <family val="2"/>
      </rPr>
      <t xml:space="preserve"> 10 DL 50/2022 rev prezzi (90%)</t>
    </r>
  </si>
  <si>
    <r>
      <t>21/07/2022 US</t>
    </r>
    <r>
      <rPr>
        <sz val="8"/>
        <rFont val="Arial"/>
        <family val="2"/>
      </rPr>
      <t xml:space="preserve"> (NB: ANTICIPO 30% CONTRATTO)</t>
    </r>
  </si>
  <si>
    <r>
      <t xml:space="preserve">18/10/2021 US </t>
    </r>
    <r>
      <rPr>
        <sz val="8"/>
        <rFont val="Arial"/>
        <family val="2"/>
      </rPr>
      <t>(NB: ANTICIPO 30% CONTRATTO)</t>
    </r>
  </si>
  <si>
    <t xml:space="preserve">30/09/24
</t>
  </si>
  <si>
    <r>
      <t>16/2/22</t>
    </r>
    <r>
      <rPr>
        <sz val="8"/>
        <rFont val="Arial"/>
        <family val="2"/>
      </rPr>
      <t xml:space="preserve"> (NB: ANTICIPO 30% CONTRATTO)</t>
    </r>
  </si>
  <si>
    <r>
      <t xml:space="preserve">16/2/22 </t>
    </r>
    <r>
      <rPr>
        <sz val="8"/>
        <rFont val="Arial"/>
        <family val="2"/>
      </rPr>
      <t>(NB: ANTICIPO 30% CONTRATTO)</t>
    </r>
  </si>
  <si>
    <r>
      <t xml:space="preserve">13/05/22 US </t>
    </r>
    <r>
      <rPr>
        <sz val="8"/>
        <rFont val="Arial"/>
        <family val="2"/>
      </rPr>
      <t>(NB: ANTICIPO 30% CONTRATTO)</t>
    </r>
  </si>
  <si>
    <r>
      <t xml:space="preserve">27/07/22 US </t>
    </r>
    <r>
      <rPr>
        <sz val="8"/>
        <rFont val="Arial"/>
        <family val="2"/>
      </rPr>
      <t>(NB: ANTICIPO 30% CONTRATTO)</t>
    </r>
  </si>
  <si>
    <t>326_2</t>
  </si>
  <si>
    <r>
      <t xml:space="preserve">02/09/2022 </t>
    </r>
    <r>
      <rPr>
        <sz val="8"/>
        <rFont val="Arial"/>
        <family val="2"/>
      </rPr>
      <t>(NB: ANTICIPO 30% CONTRATTO)</t>
    </r>
  </si>
  <si>
    <t xml:space="preserve">28/4/24
</t>
  </si>
  <si>
    <r>
      <t xml:space="preserve">13/09/22 US </t>
    </r>
    <r>
      <rPr>
        <sz val="8"/>
        <rFont val="Arial"/>
        <family val="2"/>
      </rPr>
      <t>(NB: ANTICIPO 30% CONTRATTO)</t>
    </r>
  </si>
  <si>
    <r>
      <t xml:space="preserve">ADEGUAMENTO FUNZIONALE DEL SISTEMA DI APPROVVIGIONAMENTO E DISTRIBUZIONE IDRICA DI REA, VERRUA PO, MEZZANINO, BRESSANA BOTTARONE E PINAROLO PO E RELATIVE INTERCONNESSIONI - INTERCONNESSIONE RETI IDRICHE </t>
    </r>
    <r>
      <rPr>
        <b/>
        <sz val="8"/>
        <rFont val="Arial"/>
        <family val="2"/>
      </rPr>
      <t xml:space="preserve">VERRUA PO - PINAROLO PO - BRESSANA BOTTARONE. </t>
    </r>
    <r>
      <rPr>
        <sz val="8"/>
        <rFont val="Arial"/>
        <family val="2"/>
      </rPr>
      <t>(cd 'dorsale robecchina').</t>
    </r>
  </si>
  <si>
    <r>
      <t>12/10/22 US</t>
    </r>
    <r>
      <rPr>
        <sz val="8"/>
        <rFont val="Arial"/>
        <family val="2"/>
      </rPr>
      <t xml:space="preserve"> (NB: ANTICIPO 30% CONTRATTO)</t>
    </r>
  </si>
  <si>
    <t>parziale 27.9.22; completa 23.01.23</t>
  </si>
  <si>
    <t xml:space="preserve">08/04/2024
</t>
  </si>
  <si>
    <r>
      <t xml:space="preserve">17/05/2022 </t>
    </r>
    <r>
      <rPr>
        <sz val="8"/>
        <rFont val="Arial"/>
        <family val="2"/>
      </rPr>
      <t>(NB: ANTICIPO 30% CONTRATTO)</t>
    </r>
  </si>
  <si>
    <r>
      <rPr>
        <strike/>
        <sz val="8"/>
        <rFont val="Arial"/>
        <family val="2"/>
      </rPr>
      <t>240</t>
    </r>
    <r>
      <rPr>
        <sz val="8"/>
        <rFont val="Arial"/>
        <family val="2"/>
      </rPr>
      <t xml:space="preserve"> 406</t>
    </r>
  </si>
  <si>
    <t xml:space="preserve">27/2/23  
</t>
  </si>
  <si>
    <r>
      <t xml:space="preserve">5.10.23 - Atto sottomissione n.3 (rif: &lt; soglie c.7a.106 dlgs50.2016 s.ord. </t>
    </r>
    <r>
      <rPr>
        <b/>
        <sz val="8"/>
        <rFont val="Arial"/>
        <family val="2"/>
      </rPr>
      <t>E</t>
    </r>
    <r>
      <rPr>
        <sz val="8"/>
        <rFont val="Arial"/>
        <family val="2"/>
      </rPr>
      <t xml:space="preserve"> lav supplement entro limiti c.12 a.106)</t>
    </r>
  </si>
  <si>
    <r>
      <t xml:space="preserve">11/10/22 US </t>
    </r>
    <r>
      <rPr>
        <sz val="8"/>
        <rFont val="Arial"/>
        <family val="2"/>
      </rPr>
      <t>(NB: ANTICIPO 30% CONTRATTO)</t>
    </r>
  </si>
  <si>
    <r>
      <rPr>
        <b/>
        <sz val="8"/>
        <rFont val="Arial"/>
        <family val="2"/>
      </rPr>
      <t>Fornitura</t>
    </r>
    <r>
      <rPr>
        <sz val="8"/>
        <rFont val="Arial"/>
        <family val="2"/>
      </rPr>
      <t xml:space="preserve"> di dispositivi di misura digitali intelligenti per acqua fredda (“</t>
    </r>
    <r>
      <rPr>
        <b/>
        <sz val="8"/>
        <rFont val="Arial"/>
        <family val="2"/>
      </rPr>
      <t>smart meter</t>
    </r>
    <r>
      <rPr>
        <sz val="8"/>
        <rFont val="Arial"/>
        <family val="2"/>
      </rPr>
      <t>”) statici con modulo radio integrato e forniture accessorie. &lt;DN40</t>
    </r>
  </si>
  <si>
    <r>
      <rPr>
        <b/>
        <sz val="8"/>
        <rFont val="Arial"/>
        <family val="2"/>
      </rPr>
      <t>Lavori</t>
    </r>
    <r>
      <rPr>
        <sz val="8"/>
        <rFont val="Arial"/>
        <family val="2"/>
      </rPr>
      <t xml:space="preserve"> di installazione di dispositivi di misura digitali per acqua fredda (“</t>
    </r>
    <r>
      <rPr>
        <b/>
        <sz val="8"/>
        <rFont val="Arial"/>
        <family val="2"/>
      </rPr>
      <t>smart meter</t>
    </r>
    <r>
      <rPr>
        <sz val="8"/>
        <rFont val="Arial"/>
        <family val="2"/>
      </rPr>
      <t xml:space="preserve">”) e prestazioni accessorie, suddiviso in </t>
    </r>
    <r>
      <rPr>
        <b/>
        <sz val="8"/>
        <rFont val="Arial"/>
        <family val="2"/>
      </rPr>
      <t>2 lotti.</t>
    </r>
    <r>
      <rPr>
        <sz val="8"/>
        <rFont val="Arial"/>
        <family val="2"/>
      </rPr>
      <t xml:space="preserve"> 
</t>
    </r>
    <r>
      <rPr>
        <b/>
        <sz val="8"/>
        <rFont val="Arial"/>
        <family val="2"/>
      </rPr>
      <t>LOTTO 1 OLTREPO ORIENT</t>
    </r>
  </si>
  <si>
    <r>
      <t>21/04/23 US</t>
    </r>
    <r>
      <rPr>
        <sz val="8"/>
        <rFont val="Arial"/>
        <family val="2"/>
      </rPr>
      <t xml:space="preserve"> (NB: ANTICIPO 20% CONTRATTO)</t>
    </r>
  </si>
  <si>
    <r>
      <rPr>
        <b/>
        <sz val="8"/>
        <rFont val="Arial"/>
        <family val="2"/>
      </rPr>
      <t>Lavori</t>
    </r>
    <r>
      <rPr>
        <sz val="8"/>
        <rFont val="Arial"/>
        <family val="2"/>
      </rPr>
      <t xml:space="preserve"> di installazione di dispositivi di misura digitali per acqua fredda (“</t>
    </r>
    <r>
      <rPr>
        <b/>
        <sz val="8"/>
        <rFont val="Arial"/>
        <family val="2"/>
      </rPr>
      <t>smart meter</t>
    </r>
    <r>
      <rPr>
        <sz val="8"/>
        <rFont val="Arial"/>
        <family val="2"/>
      </rPr>
      <t xml:space="preserve">”) e prestazioni accessorie, suddiviso in </t>
    </r>
    <r>
      <rPr>
        <b/>
        <sz val="8"/>
        <rFont val="Arial"/>
        <family val="2"/>
      </rPr>
      <t>2 lotti.</t>
    </r>
    <r>
      <rPr>
        <sz val="8"/>
        <rFont val="Arial"/>
        <family val="2"/>
      </rPr>
      <t xml:space="preserve"> 
</t>
    </r>
    <r>
      <rPr>
        <b/>
        <sz val="8"/>
        <rFont val="Arial"/>
        <family val="2"/>
      </rPr>
      <t>LOTTO 2 OLTREPO OCCID</t>
    </r>
  </si>
  <si>
    <r>
      <rPr>
        <strike/>
        <sz val="8"/>
        <rFont val="Arial"/>
        <family val="2"/>
      </rPr>
      <t>240</t>
    </r>
    <r>
      <rPr>
        <sz val="8"/>
        <rFont val="Arial"/>
        <family val="2"/>
      </rPr>
      <t xml:space="preserve"> 405</t>
    </r>
  </si>
  <si>
    <r>
      <t xml:space="preserve">25/05/23 US </t>
    </r>
    <r>
      <rPr>
        <sz val="8"/>
        <rFont val="Arial"/>
        <family val="2"/>
      </rPr>
      <t>(NB: ANTICIPO 20% CONTRATTO)</t>
    </r>
  </si>
  <si>
    <r>
      <t xml:space="preserve">4/05/23 US </t>
    </r>
    <r>
      <rPr>
        <sz val="8"/>
        <rFont val="Arial"/>
        <family val="2"/>
      </rPr>
      <t>(NB: ANTICIPO 20% CONTRATTO)</t>
    </r>
  </si>
  <si>
    <r>
      <t>17/03/23 US</t>
    </r>
    <r>
      <rPr>
        <sz val="8"/>
        <rFont val="Arial"/>
        <family val="2"/>
      </rPr>
      <t xml:space="preserve"> (NB: ANTICIPO 20% CONTRATTO)</t>
    </r>
  </si>
  <si>
    <r>
      <t xml:space="preserve">29/05/23 US </t>
    </r>
    <r>
      <rPr>
        <sz val="8"/>
        <rFont val="Arial"/>
        <family val="2"/>
      </rPr>
      <t>(NB: ANTICIPO 20% CONTRATTO)</t>
    </r>
  </si>
  <si>
    <r>
      <t>03/08/23 US</t>
    </r>
    <r>
      <rPr>
        <sz val="8"/>
        <rFont val="Arial"/>
        <family val="2"/>
      </rPr>
      <t xml:space="preserve"> (NB: ANTICIPO 20% CONTRATTO)</t>
    </r>
  </si>
  <si>
    <r>
      <t>08/11/2023 US</t>
    </r>
    <r>
      <rPr>
        <sz val="8"/>
        <rFont val="Arial"/>
        <family val="2"/>
      </rPr>
      <t xml:space="preserve"> (NB: ANTICIPO 20% CONTRATTO)</t>
    </r>
  </si>
  <si>
    <r>
      <t>22/09/23 US</t>
    </r>
    <r>
      <rPr>
        <sz val="8"/>
        <rFont val="Arial"/>
        <family val="2"/>
      </rPr>
      <t xml:space="preserve"> (NB: ANTICIPO 20% CONTRATTO)</t>
    </r>
  </si>
  <si>
    <r>
      <t xml:space="preserve">22/09/23 US </t>
    </r>
    <r>
      <rPr>
        <sz val="8"/>
        <rFont val="Arial"/>
        <family val="2"/>
      </rPr>
      <t>(NB: ANTICIPO 20% CONTRATTO)</t>
    </r>
  </si>
  <si>
    <r>
      <rPr>
        <b/>
        <sz val="8"/>
        <rFont val="Arial"/>
        <family val="2"/>
      </rPr>
      <t>FORNITURA</t>
    </r>
    <r>
      <rPr>
        <sz val="8"/>
        <rFont val="Arial"/>
        <family val="2"/>
      </rPr>
      <t xml:space="preserve"> DI DISPOSITIVI DI MISURA DIGITALI INTELLIGENTI PER ACQUA FREDDA (“SMART METER”) STATICI CON MODULO RADIO INTEGRATO E FORNITURE ACCESSORIE
&gt;DN40</t>
    </r>
  </si>
  <si>
    <r>
      <t>24/10/2023 US</t>
    </r>
    <r>
      <rPr>
        <sz val="8"/>
        <rFont val="Arial"/>
        <family val="2"/>
      </rPr>
      <t xml:space="preserve"> (NB: ANTICIPO 20% CONTRATTO)</t>
    </r>
  </si>
  <si>
    <r>
      <t>25/10/2023 US</t>
    </r>
    <r>
      <rPr>
        <sz val="8"/>
        <rFont val="Arial"/>
        <family val="2"/>
      </rPr>
      <t xml:space="preserve"> (NB: ANTICIPO 20% CONTRATTO)</t>
    </r>
  </si>
  <si>
    <r>
      <rPr>
        <b/>
        <sz val="8"/>
        <rFont val="Arial"/>
        <family val="2"/>
      </rPr>
      <t>AQ:</t>
    </r>
    <r>
      <rPr>
        <sz val="8"/>
        <rFont val="Arial"/>
        <family val="2"/>
      </rPr>
      <t xml:space="preserve"> Lavori finalizzati al recupero di energia </t>
    </r>
    <r>
      <rPr>
        <b/>
        <sz val="8"/>
        <rFont val="Arial"/>
        <family val="2"/>
      </rPr>
      <t>geotermica</t>
    </r>
    <r>
      <rPr>
        <sz val="8"/>
        <rFont val="Arial"/>
        <family val="2"/>
      </rPr>
      <t xml:space="preserve"> da reti di distribuzione ad uso idropotabile nel territorio della provincia di pavia per garantire supporto alle amministrazioni comunali nel riscaldamento e/o raffrescamento di immobili scolastici.</t>
    </r>
  </si>
  <si>
    <r>
      <t>05/07/2024</t>
    </r>
    <r>
      <rPr>
        <sz val="8"/>
        <rFont val="Arial"/>
        <family val="2"/>
      </rPr>
      <t xml:space="preserve"> (NB: ANTICIPO 20% CONTRATTO)</t>
    </r>
  </si>
  <si>
    <r>
      <rPr>
        <b/>
        <sz val="8"/>
        <rFont val="Arial"/>
        <family val="2"/>
      </rPr>
      <t>AQ:</t>
    </r>
    <r>
      <rPr>
        <sz val="8"/>
        <rFont val="Arial"/>
        <family val="2"/>
      </rPr>
      <t xml:space="preserve"> Interventi di manutenzione straordinaria, rifacimento e sostituzione di tratti di </t>
    </r>
    <r>
      <rPr>
        <b/>
        <sz val="8"/>
        <rFont val="Arial"/>
        <family val="2"/>
      </rPr>
      <t>rete idrica</t>
    </r>
    <r>
      <rPr>
        <sz val="8"/>
        <rFont val="Arial"/>
        <family val="2"/>
      </rPr>
      <t xml:space="preserve"> con relativi allacciamenti fino al contatore d'utenza: interventi eseguiti
con tecnica </t>
    </r>
    <r>
      <rPr>
        <b/>
        <sz val="8"/>
        <rFont val="Arial"/>
        <family val="2"/>
      </rPr>
      <t>tradizionale</t>
    </r>
    <r>
      <rPr>
        <sz val="8"/>
        <rFont val="Arial"/>
        <family val="2"/>
      </rPr>
      <t>.</t>
    </r>
    <r>
      <rPr>
        <b/>
        <sz val="8"/>
        <rFont val="Arial"/>
        <family val="2"/>
      </rPr>
      <t xml:space="preserve"> LOTTO 1 Lom</t>
    </r>
  </si>
  <si>
    <r>
      <rPr>
        <b/>
        <sz val="8"/>
        <rFont val="Arial"/>
        <family val="2"/>
      </rPr>
      <t>AQ:</t>
    </r>
    <r>
      <rPr>
        <sz val="8"/>
        <rFont val="Arial"/>
        <family val="2"/>
      </rPr>
      <t xml:space="preserve"> Interventi di manutenzione straordinaria, rifacimento e sostituzione di tratti di </t>
    </r>
    <r>
      <rPr>
        <b/>
        <sz val="8"/>
        <rFont val="Arial"/>
        <family val="2"/>
      </rPr>
      <t>rete idrica</t>
    </r>
    <r>
      <rPr>
        <sz val="8"/>
        <rFont val="Arial"/>
        <family val="2"/>
      </rPr>
      <t xml:space="preserve"> con relativi allacciamenti fino al contatore d'utenza: interventi eseguiti
con tecnica </t>
    </r>
    <r>
      <rPr>
        <b/>
        <sz val="8"/>
        <rFont val="Arial"/>
        <family val="2"/>
      </rPr>
      <t>tradizionale</t>
    </r>
    <r>
      <rPr>
        <sz val="8"/>
        <rFont val="Arial"/>
        <family val="2"/>
      </rPr>
      <t>.</t>
    </r>
    <r>
      <rPr>
        <b/>
        <sz val="8"/>
        <rFont val="Arial"/>
        <family val="2"/>
      </rPr>
      <t xml:space="preserve"> LOTTO 2 Oltre</t>
    </r>
  </si>
  <si>
    <r>
      <t xml:space="preserve">28/06/2024 </t>
    </r>
    <r>
      <rPr>
        <sz val="8"/>
        <rFont val="Arial"/>
        <family val="2"/>
      </rPr>
      <t>(NB: ANTICIPO 20% CONTRATTO)</t>
    </r>
  </si>
  <si>
    <r>
      <rPr>
        <b/>
        <sz val="8"/>
        <rFont val="Arial"/>
        <family val="2"/>
      </rPr>
      <t>AQ:</t>
    </r>
    <r>
      <rPr>
        <sz val="8"/>
        <rFont val="Arial"/>
        <family val="2"/>
      </rPr>
      <t xml:space="preserve"> Interventi di manutenzione straordinaria, rifacimento e sostituzione di tratti di </t>
    </r>
    <r>
      <rPr>
        <b/>
        <sz val="8"/>
        <rFont val="Arial"/>
        <family val="2"/>
      </rPr>
      <t>rete idrica</t>
    </r>
    <r>
      <rPr>
        <sz val="8"/>
        <rFont val="Arial"/>
        <family val="2"/>
      </rPr>
      <t xml:space="preserve"> con relativi allacciamenti fino al contatore d'utenza: interventi eseguiti
con tecnica </t>
    </r>
    <r>
      <rPr>
        <b/>
        <sz val="8"/>
        <rFont val="Arial"/>
        <family val="2"/>
      </rPr>
      <t>tradizionale</t>
    </r>
    <r>
      <rPr>
        <sz val="8"/>
        <rFont val="Arial"/>
        <family val="2"/>
      </rPr>
      <t>.</t>
    </r>
    <r>
      <rPr>
        <b/>
        <sz val="8"/>
        <rFont val="Arial"/>
        <family val="2"/>
      </rPr>
      <t xml:space="preserve"> LOTTO 3 Pav</t>
    </r>
  </si>
  <si>
    <r>
      <rPr>
        <b/>
        <sz val="8"/>
        <rFont val="Arial"/>
        <family val="2"/>
      </rPr>
      <t>28/06/2024</t>
    </r>
    <r>
      <rPr>
        <sz val="8"/>
        <rFont val="Arial"/>
        <family val="2"/>
      </rPr>
      <t xml:space="preserve"> (NB: ANTICIPO 20% CONTRATTO)</t>
    </r>
  </si>
  <si>
    <r>
      <rPr>
        <b/>
        <sz val="8"/>
        <rFont val="Arial"/>
        <family val="2"/>
      </rPr>
      <t>AQ:</t>
    </r>
    <r>
      <rPr>
        <sz val="8"/>
        <rFont val="Arial"/>
        <family val="2"/>
      </rPr>
      <t xml:space="preserve"> Interventi di manutenzione straordinaria, rifacimento e sostituzione di tratti di rete idrica con relativi allacciamenti fino al contatore d'utenza: interventi
eseguiti con tecnica innovativa </t>
    </r>
    <r>
      <rPr>
        <b/>
        <sz val="8"/>
        <rFont val="Arial"/>
        <family val="2"/>
      </rPr>
      <t>NO-DIG</t>
    </r>
    <r>
      <rPr>
        <sz val="8"/>
        <rFont val="Arial"/>
        <family val="2"/>
      </rPr>
      <t xml:space="preserve"> a basso impatto ambientale (tipo hose lining o equivalente).</t>
    </r>
  </si>
  <si>
    <r>
      <rPr>
        <b/>
        <sz val="8"/>
        <rFont val="Arial"/>
        <family val="2"/>
      </rPr>
      <t>Fornitura</t>
    </r>
    <r>
      <rPr>
        <sz val="8"/>
        <rFont val="Arial"/>
        <family val="2"/>
      </rPr>
      <t xml:space="preserve"> di dispositivi di misura digitali intelligenti per acqua fredda (“</t>
    </r>
    <r>
      <rPr>
        <b/>
        <sz val="8"/>
        <rFont val="Arial"/>
        <family val="2"/>
      </rPr>
      <t>smart meter</t>
    </r>
    <r>
      <rPr>
        <sz val="8"/>
        <rFont val="Arial"/>
        <family val="2"/>
      </rPr>
      <t>”) statici con modulo radio integrato e forniture accessorie.</t>
    </r>
  </si>
  <si>
    <t>31/10 pubbl.GUCE+TG; 2/11 sito; 3/11 GURI; 14/11 Oss; 8/11 n.4quot + 10/11sped.rett.GUCE</t>
  </si>
  <si>
    <r>
      <t xml:space="preserve">Lavori di </t>
    </r>
    <r>
      <rPr>
        <b/>
        <sz val="8"/>
        <rFont val="Arial"/>
        <family val="2"/>
      </rPr>
      <t>installazione</t>
    </r>
    <r>
      <rPr>
        <sz val="8"/>
        <rFont val="Arial"/>
        <family val="2"/>
      </rPr>
      <t xml:space="preserve"> di dispositivi di misura digitali per acqua fredda (“smart meter”) e prestazioni accessorie - 3 lotti. </t>
    </r>
    <r>
      <rPr>
        <b/>
        <sz val="8"/>
        <rFont val="Arial"/>
        <family val="2"/>
      </rPr>
      <t>Lotto 1 Lom</t>
    </r>
  </si>
  <si>
    <t>3/11/23 GURI+sito+TG; 14/11 Oss; 10/11 n.2quot</t>
  </si>
  <si>
    <r>
      <rPr>
        <sz val="8"/>
        <rFont val="Arial"/>
        <family val="2"/>
      </rPr>
      <t>VERB CONS LAV 27/6/24</t>
    </r>
    <r>
      <rPr>
        <b/>
        <sz val="8"/>
        <rFont val="Arial"/>
        <family val="2"/>
      </rPr>
      <t xml:space="preserve">
</t>
    </r>
  </si>
  <si>
    <r>
      <t xml:space="preserve">Lavori di </t>
    </r>
    <r>
      <rPr>
        <b/>
        <sz val="8"/>
        <rFont val="Arial"/>
        <family val="2"/>
      </rPr>
      <t>installazione</t>
    </r>
    <r>
      <rPr>
        <sz val="8"/>
        <rFont val="Arial"/>
        <family val="2"/>
      </rPr>
      <t xml:space="preserve"> di dispositivi di misura digitali per acqua fredda (“smart meter”) e prestazioni accessorie - 3 lotti. </t>
    </r>
    <r>
      <rPr>
        <b/>
        <sz val="8"/>
        <rFont val="Arial"/>
        <family val="2"/>
      </rPr>
      <t>Lotto 2 Oltre</t>
    </r>
  </si>
  <si>
    <r>
      <t xml:space="preserve">25/06/2024 </t>
    </r>
    <r>
      <rPr>
        <sz val="8"/>
        <rFont val="Arial"/>
        <family val="2"/>
      </rPr>
      <t>(NB: ANTICIPO 20% CONTRATTO)</t>
    </r>
  </si>
  <si>
    <r>
      <t xml:space="preserve">Lavori di </t>
    </r>
    <r>
      <rPr>
        <b/>
        <sz val="8"/>
        <rFont val="Arial"/>
        <family val="2"/>
      </rPr>
      <t>installazione</t>
    </r>
    <r>
      <rPr>
        <sz val="8"/>
        <rFont val="Arial"/>
        <family val="2"/>
      </rPr>
      <t xml:space="preserve"> di dispositivi di misura digitali per acqua fredda (“smart meter”) e prestazioni accessorie - 3 lotti. </t>
    </r>
    <r>
      <rPr>
        <b/>
        <sz val="8"/>
        <rFont val="Arial"/>
        <family val="2"/>
      </rPr>
      <t>Lotto 3 Pav</t>
    </r>
  </si>
  <si>
    <r>
      <rPr>
        <sz val="8"/>
        <rFont val="Arial"/>
        <family val="2"/>
      </rPr>
      <t>VERB CONS LAV 3/7/24</t>
    </r>
    <r>
      <rPr>
        <b/>
        <sz val="8"/>
        <rFont val="Arial"/>
        <family val="2"/>
      </rPr>
      <t xml:space="preserve">
</t>
    </r>
  </si>
  <si>
    <r>
      <rPr>
        <b/>
        <sz val="8"/>
        <rFont val="Arial"/>
        <family val="2"/>
      </rPr>
      <t xml:space="preserve">AQ: </t>
    </r>
    <r>
      <rPr>
        <sz val="8"/>
        <rFont val="Arial"/>
        <family val="2"/>
      </rPr>
      <t xml:space="preserve">Fornitura estensione del servizio di </t>
    </r>
    <r>
      <rPr>
        <b/>
        <sz val="8"/>
        <rFont val="Arial"/>
        <family val="2"/>
      </rPr>
      <t>telecontrollo</t>
    </r>
    <r>
      <rPr>
        <sz val="8"/>
        <rFont val="Arial"/>
        <family val="2"/>
      </rPr>
      <t xml:space="preserve"> sugli impianti acquedottistici del servizio idrico integrato della provincia di Pavia.</t>
    </r>
  </si>
  <si>
    <r>
      <rPr>
        <b/>
        <sz val="8"/>
        <rFont val="Arial"/>
        <family val="2"/>
      </rPr>
      <t>IDEA S.R.L.</t>
    </r>
    <r>
      <rPr>
        <sz val="8"/>
        <rFont val="Arial"/>
        <family val="2"/>
      </rPr>
      <t xml:space="preserve"> (Novate Milanese MI); ORA, PER CESSIONE RAMO AZIENDA: </t>
    </r>
    <r>
      <rPr>
        <b/>
        <sz val="8"/>
        <rFont val="Arial"/>
        <family val="2"/>
      </rPr>
      <t xml:space="preserve"> IDEA TELECONTROLLO SRL (Lissone – MB)</t>
    </r>
  </si>
  <si>
    <r>
      <t xml:space="preserve">Allestimento della piattaforma </t>
    </r>
    <r>
      <rPr>
        <b/>
        <sz val="8"/>
        <rFont val="Arial"/>
        <family val="2"/>
      </rPr>
      <t>WMS</t>
    </r>
    <r>
      <rPr>
        <sz val="8"/>
        <rFont val="Arial"/>
        <family val="2"/>
      </rPr>
      <t xml:space="preserve"> (water management system) in grado di raccordare le informazioni afferenti ai diversi strumenti informatici aziendali (gis, telecontrollo, fatturazione, modellizzazione reti, ecc.) nell'ottica di garantire l'asset management delle infrastrutture acquedottistiche nonché il supporto alla programmazione degli interventi (decision support system).</t>
    </r>
  </si>
  <si>
    <t>2/11/23 sped.GUCE+ 7/11 TG+sito; 8/11 GURI; 14/11 Oss; 9/11 n.4quot</t>
  </si>
  <si>
    <r>
      <t xml:space="preserve">03/07/2024 </t>
    </r>
    <r>
      <rPr>
        <sz val="8"/>
        <rFont val="Arial"/>
        <family val="2"/>
      </rPr>
      <t>(NB: ANTICIPO 20% CONTRATTO)</t>
    </r>
  </si>
  <si>
    <r>
      <rPr>
        <sz val="8"/>
        <rFont val="Arial"/>
        <family val="2"/>
      </rPr>
      <t>02/08/24</t>
    </r>
    <r>
      <rPr>
        <b/>
        <sz val="8"/>
        <rFont val="Arial"/>
        <family val="2"/>
      </rPr>
      <t xml:space="preserve">
</t>
    </r>
  </si>
  <si>
    <r>
      <rPr>
        <b/>
        <sz val="8"/>
        <rFont val="Arial"/>
        <family val="2"/>
      </rPr>
      <t>AQ:</t>
    </r>
    <r>
      <rPr>
        <sz val="8"/>
        <rFont val="Arial"/>
        <family val="2"/>
      </rPr>
      <t xml:space="preserve"> Attività di </t>
    </r>
    <r>
      <rPr>
        <b/>
        <sz val="8"/>
        <rFont val="Arial"/>
        <family val="2"/>
      </rPr>
      <t>modellazione</t>
    </r>
    <r>
      <rPr>
        <sz val="8"/>
        <rFont val="Arial"/>
        <family val="2"/>
      </rPr>
      <t xml:space="preserve"> idraulica, </t>
    </r>
    <r>
      <rPr>
        <b/>
        <sz val="8"/>
        <rFont val="Arial"/>
        <family val="2"/>
      </rPr>
      <t>distrettualizzazione</t>
    </r>
    <r>
      <rPr>
        <sz val="8"/>
        <rFont val="Arial"/>
        <family val="2"/>
      </rPr>
      <t xml:space="preserve"> ed </t>
    </r>
    <r>
      <rPr>
        <b/>
        <sz val="8"/>
        <rFont val="Arial"/>
        <family val="2"/>
      </rPr>
      <t>installazione</t>
    </r>
    <r>
      <rPr>
        <sz val="8"/>
        <rFont val="Arial"/>
        <family val="2"/>
      </rPr>
      <t xml:space="preserve"> di misuratori di pressione / portata e di valvole per il controllo della pressione.</t>
    </r>
  </si>
  <si>
    <r>
      <t>27/06/2024</t>
    </r>
    <r>
      <rPr>
        <sz val="8"/>
        <rFont val="Arial"/>
        <family val="2"/>
      </rPr>
      <t xml:space="preserve"> (NB: ANTICIPO 20% CONTRATTO)</t>
    </r>
  </si>
  <si>
    <r>
      <rPr>
        <sz val="8"/>
        <rFont val="Arial"/>
        <family val="2"/>
      </rPr>
      <t>12/07/24</t>
    </r>
    <r>
      <rPr>
        <b/>
        <sz val="8"/>
        <rFont val="Arial"/>
        <family val="2"/>
      </rPr>
      <t xml:space="preserve">
</t>
    </r>
  </si>
  <si>
    <t>GARA SENZA ESITO; AFF. DIR.: ARTESIA POZZI</t>
  </si>
  <si>
    <r>
      <t>27/08/2024</t>
    </r>
    <r>
      <rPr>
        <sz val="8"/>
        <rFont val="Arial"/>
        <family val="2"/>
      </rPr>
      <t xml:space="preserve"> (NB: ANTICIPO 20% CONTRATTO)</t>
    </r>
  </si>
  <si>
    <r>
      <t xml:space="preserve">01/08/2024 </t>
    </r>
    <r>
      <rPr>
        <sz val="8"/>
        <rFont val="Arial"/>
        <family val="2"/>
      </rPr>
      <t>(NB: ANTICIPO 20% CONTRATTO)</t>
    </r>
  </si>
  <si>
    <r>
      <t>29/08/2024</t>
    </r>
    <r>
      <rPr>
        <sz val="8"/>
        <rFont val="Arial"/>
        <family val="2"/>
      </rPr>
      <t xml:space="preserve"> (NB: ANTICIPO 20% CONTRATTO)</t>
    </r>
  </si>
  <si>
    <r>
      <t xml:space="preserve">AFF. DIR.: I.P.T.A. DI VASSALLI S.R.L. </t>
    </r>
    <r>
      <rPr>
        <sz val="8"/>
        <rFont val="Arial"/>
        <family val="2"/>
      </rPr>
      <t>(Torbole Casaglia BS)</t>
    </r>
  </si>
  <si>
    <r>
      <t>02/07/2025</t>
    </r>
    <r>
      <rPr>
        <sz val="8"/>
        <rFont val="Arial"/>
        <family val="2"/>
      </rPr>
      <t xml:space="preserve"> (NB: ANTICIPO 20% CONTRATTO)</t>
    </r>
  </si>
  <si>
    <r>
      <t xml:space="preserve">07/07/2025 </t>
    </r>
    <r>
      <rPr>
        <sz val="8"/>
        <rFont val="Arial"/>
        <family val="2"/>
      </rPr>
      <t>(NB: ANTICIPO 20% CONTRATTO)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</si>
</sst>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dd/mm/yy;@"/>
    <numFmt numFmtId="165" formatCode="d/m/yy;@"/>
    <numFmt numFmtId="166" formatCode="0.000%"/>
    <numFmt numFmtId="167" formatCode="#,##0.00_ ;\-#,##0.00\ "/>
  </numFmts>
  <fonts count="19" x14ac:knownFonts="1">
    <font>
      <sz val="11"/>
      <color theme="1"/>
      <name val="Calibri"/>
      <family val="2"/>
      <scheme val="minor"/>
    </font>
    <font>
      <sz val="11"/>
      <color theme="1"/>
      <name val="Calibri"/>
      <family val="2"/>
      <scheme val="minor"/>
    </font>
    <font>
      <sz val="8"/>
      <name val="Arial"/>
      <family val="2"/>
    </font>
    <font>
      <b/>
      <sz val="8"/>
      <name val="Arial"/>
      <family val="2"/>
    </font>
    <font>
      <sz val="6"/>
      <name val="Arial"/>
      <family val="2"/>
    </font>
    <font>
      <b/>
      <sz val="7"/>
      <name val="Arial"/>
      <family val="2"/>
    </font>
    <font>
      <sz val="7"/>
      <name val="Arial"/>
      <family val="2"/>
    </font>
    <font>
      <b/>
      <sz val="10"/>
      <name val="Arial"/>
      <family val="2"/>
    </font>
    <font>
      <sz val="10"/>
      <name val="Arial"/>
      <family val="2"/>
    </font>
    <font>
      <strike/>
      <sz val="8"/>
      <name val="Arial"/>
      <family val="2"/>
    </font>
    <font>
      <b/>
      <u/>
      <sz val="8"/>
      <name val="Arial"/>
      <family val="2"/>
    </font>
    <font>
      <b/>
      <sz val="9"/>
      <name val="Arial"/>
      <family val="2"/>
    </font>
    <font>
      <sz val="9"/>
      <name val="Arial"/>
      <family val="2"/>
    </font>
    <font>
      <u/>
      <sz val="8"/>
      <name val="Arial"/>
      <family val="2"/>
    </font>
    <font>
      <b/>
      <strike/>
      <sz val="8"/>
      <name val="Arial"/>
      <family val="2"/>
    </font>
    <font>
      <sz val="8"/>
      <name val="Calibri"/>
      <family val="2"/>
      <scheme val="minor"/>
    </font>
    <font>
      <sz val="11"/>
      <name val="Calibri"/>
      <family val="2"/>
      <scheme val="minor"/>
    </font>
    <font>
      <b/>
      <sz val="6"/>
      <name val="Arial"/>
      <family val="2"/>
    </font>
    <font>
      <b/>
      <sz val="11"/>
      <name val="Arial"/>
      <family val="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rgb="FF00B050"/>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style="thin">
        <color indexed="64"/>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166" fontId="2" fillId="0" borderId="1" xfId="3" applyNumberFormat="1" applyFont="1" applyFill="1" applyBorder="1" applyAlignment="1">
      <alignment horizontal="center" vertical="center" wrapText="1"/>
    </xf>
    <xf numFmtId="43" fontId="2" fillId="0" borderId="1" xfId="1" applyFont="1" applyFill="1" applyBorder="1" applyAlignment="1">
      <alignment vertical="center" wrapText="1"/>
    </xf>
    <xf numFmtId="4" fontId="2" fillId="0" borderId="1" xfId="2" applyNumberFormat="1" applyFont="1" applyFill="1" applyBorder="1" applyAlignment="1">
      <alignment horizontal="right" vertical="center"/>
    </xf>
    <xf numFmtId="10" fontId="2" fillId="0" borderId="1" xfId="3"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4" fontId="2" fillId="0" borderId="1" xfId="1" applyNumberFormat="1" applyFont="1" applyFill="1" applyBorder="1" applyAlignment="1">
      <alignment vertical="center" wrapText="1"/>
    </xf>
    <xf numFmtId="4" fontId="12" fillId="0" borderId="1" xfId="1" applyNumberFormat="1" applyFont="1" applyFill="1" applyBorder="1" applyAlignment="1">
      <alignment vertical="center" wrapText="1"/>
    </xf>
    <xf numFmtId="167" fontId="2" fillId="0" borderId="1" xfId="1" applyNumberFormat="1" applyFont="1" applyFill="1" applyBorder="1" applyAlignment="1">
      <alignment vertical="center" wrapText="1"/>
    </xf>
    <xf numFmtId="4" fontId="3" fillId="0" borderId="1" xfId="1" applyNumberFormat="1" applyFont="1" applyFill="1" applyBorder="1" applyAlignment="1">
      <alignment horizontal="right" vertical="center" wrapText="1"/>
    </xf>
    <xf numFmtId="167" fontId="2" fillId="0" borderId="1" xfId="1" applyNumberFormat="1" applyFont="1" applyFill="1" applyBorder="1" applyAlignment="1">
      <alignment horizontal="right" vertical="center" wrapText="1"/>
    </xf>
    <xf numFmtId="4" fontId="3" fillId="0" borderId="1" xfId="1" applyNumberFormat="1" applyFont="1" applyFill="1" applyBorder="1" applyAlignment="1">
      <alignment vertical="center" wrapText="1"/>
    </xf>
    <xf numFmtId="4" fontId="2" fillId="0" borderId="2" xfId="1" applyNumberFormat="1" applyFont="1" applyFill="1" applyBorder="1" applyAlignment="1">
      <alignment vertical="center" wrapText="1"/>
    </xf>
    <xf numFmtId="43" fontId="2" fillId="0" borderId="2" xfId="1" applyFont="1" applyFill="1" applyBorder="1" applyAlignment="1">
      <alignment vertical="center" wrapText="1"/>
    </xf>
    <xf numFmtId="4" fontId="2" fillId="0" borderId="3" xfId="1" applyNumberFormat="1" applyFont="1" applyFill="1" applyBorder="1" applyAlignment="1">
      <alignment vertical="center" wrapText="1"/>
    </xf>
    <xf numFmtId="43" fontId="2" fillId="0" borderId="3" xfId="1" applyFont="1" applyFill="1" applyBorder="1" applyAlignment="1">
      <alignment vertical="center" wrapText="1"/>
    </xf>
    <xf numFmtId="4" fontId="3" fillId="0" borderId="3" xfId="1" applyNumberFormat="1" applyFont="1" applyFill="1" applyBorder="1" applyAlignment="1">
      <alignment vertical="center" wrapText="1"/>
    </xf>
    <xf numFmtId="4" fontId="2" fillId="0" borderId="3" xfId="1" applyNumberFormat="1" applyFont="1" applyFill="1" applyBorder="1" applyAlignment="1">
      <alignment horizontal="right" vertical="center" wrapText="1"/>
    </xf>
    <xf numFmtId="43" fontId="3" fillId="0" borderId="1" xfId="1" applyFont="1" applyFill="1" applyBorder="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14" fontId="3"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4" fontId="2" fillId="0" borderId="1" xfId="0" applyNumberFormat="1" applyFont="1" applyBorder="1" applyAlignment="1">
      <alignment horizontal="right"/>
    </xf>
    <xf numFmtId="165" fontId="2" fillId="0" borderId="0" xfId="0" applyNumberFormat="1" applyFont="1" applyAlignment="1">
      <alignment horizontal="center"/>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alignment vertical="center" wrapText="1"/>
    </xf>
    <xf numFmtId="0" fontId="6" fillId="0" borderId="1" xfId="0" quotePrefix="1" applyFont="1" applyBorder="1" applyAlignment="1">
      <alignment horizontal="center" vertical="center" wrapText="1"/>
    </xf>
    <xf numFmtId="0" fontId="5" fillId="0" borderId="2" xfId="0" applyFont="1" applyBorder="1" applyAlignment="1">
      <alignment horizontal="center" vertical="center" wrapText="1"/>
    </xf>
    <xf numFmtId="4" fontId="2" fillId="0" borderId="2" xfId="0" applyNumberFormat="1" applyFont="1" applyBorder="1" applyAlignment="1">
      <alignment vertical="center" wrapText="1"/>
    </xf>
    <xf numFmtId="4" fontId="2" fillId="0" borderId="2" xfId="0" applyNumberFormat="1" applyFont="1" applyBorder="1" applyAlignment="1">
      <alignment horizontal="right" vertical="center" wrapText="1"/>
    </xf>
    <xf numFmtId="165"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5" fillId="0" borderId="1" xfId="0" quotePrefix="1" applyFont="1" applyBorder="1" applyAlignment="1">
      <alignment horizontal="center" vertical="center" wrapText="1"/>
    </xf>
    <xf numFmtId="10" fontId="2" fillId="0" borderId="1" xfId="0" quotePrefix="1"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11" fillId="0" borderId="1" xfId="0" applyNumberFormat="1" applyFont="1" applyBorder="1" applyAlignment="1">
      <alignment horizontal="right" vertical="center" wrapText="1"/>
    </xf>
    <xf numFmtId="165" fontId="12"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right" vertical="center" wrapText="1"/>
    </xf>
    <xf numFmtId="14" fontId="2" fillId="0" borderId="1" xfId="0" applyNumberFormat="1" applyFont="1" applyBorder="1" applyAlignment="1">
      <alignment vertical="center" wrapText="1"/>
    </xf>
    <xf numFmtId="4"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2" fillId="0" borderId="1" xfId="1" applyNumberFormat="1" applyFont="1" applyFill="1" applyBorder="1" applyAlignment="1">
      <alignment horizontal="right" vertical="center" wrapText="1"/>
    </xf>
    <xf numFmtId="164" fontId="4" fillId="0" borderId="1" xfId="0" applyNumberFormat="1" applyFont="1" applyBorder="1" applyAlignment="1">
      <alignment horizontal="center" vertical="center" wrapText="1"/>
    </xf>
    <xf numFmtId="14" fontId="15" fillId="0" borderId="0" xfId="0" applyNumberFormat="1" applyFont="1" applyAlignment="1">
      <alignment vertical="center" wrapText="1"/>
    </xf>
    <xf numFmtId="0" fontId="2" fillId="0" borderId="1" xfId="0" quotePrefix="1" applyFont="1" applyBorder="1" applyAlignment="1">
      <alignment horizontal="center" vertical="center" wrapText="1"/>
    </xf>
    <xf numFmtId="0" fontId="6" fillId="0" borderId="1" xfId="0" applyFont="1" applyBorder="1" applyAlignment="1">
      <alignment vertical="center" wrapText="1"/>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vertical="center" wrapText="1"/>
    </xf>
    <xf numFmtId="0" fontId="5" fillId="0" borderId="5" xfId="0" quotePrefix="1" applyFont="1" applyBorder="1" applyAlignment="1">
      <alignment horizontal="center" vertical="center" wrapText="1"/>
    </xf>
    <xf numFmtId="0" fontId="2" fillId="0" borderId="9" xfId="0" applyFont="1" applyBorder="1" applyAlignment="1">
      <alignment vertical="center" wrapText="1"/>
    </xf>
    <xf numFmtId="0" fontId="16" fillId="0" borderId="3" xfId="0" applyFont="1" applyBorder="1" applyAlignment="1">
      <alignment horizontal="center" vertical="center" wrapText="1"/>
    </xf>
    <xf numFmtId="0" fontId="2" fillId="0" borderId="3" xfId="0" applyFont="1" applyBorder="1" applyAlignment="1">
      <alignment vertical="center" wrapText="1"/>
    </xf>
    <xf numFmtId="3" fontId="2" fillId="0" borderId="1" xfId="0" quotePrefix="1" applyNumberFormat="1" applyFont="1" applyBorder="1" applyAlignment="1">
      <alignment horizontal="center" vertical="center" wrapText="1"/>
    </xf>
    <xf numFmtId="0" fontId="2" fillId="0" borderId="7" xfId="0" applyFont="1" applyBorder="1" applyAlignment="1">
      <alignment vertical="center" wrapText="1"/>
    </xf>
    <xf numFmtId="166" fontId="2" fillId="0" borderId="1" xfId="0" quotePrefix="1"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4" fontId="2" fillId="0" borderId="0" xfId="0" applyNumberFormat="1" applyFont="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xf>
    <xf numFmtId="0" fontId="2" fillId="0" borderId="12" xfId="0"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wrapText="1"/>
    </xf>
    <xf numFmtId="164" fontId="2" fillId="0" borderId="2" xfId="0" quotePrefix="1"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3" xfId="0" quotePrefix="1"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4" fontId="3" fillId="0" borderId="3" xfId="0" applyNumberFormat="1" applyFont="1" applyBorder="1" applyAlignment="1">
      <alignment horizontal="right" vertical="center" wrapText="1"/>
    </xf>
    <xf numFmtId="0" fontId="5"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4" fontId="3" fillId="0" borderId="3" xfId="0" quotePrefix="1"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6" fillId="0" borderId="1" xfId="0" quotePrefix="1" applyNumberFormat="1" applyFont="1" applyBorder="1" applyAlignment="1">
      <alignment horizontal="center" vertical="center" wrapText="1"/>
    </xf>
    <xf numFmtId="165" fontId="2" fillId="0" borderId="1" xfId="0" quotePrefix="1" applyNumberFormat="1" applyFont="1" applyBorder="1" applyAlignment="1">
      <alignment horizontal="center" vertical="center" wrapText="1"/>
    </xf>
    <xf numFmtId="164" fontId="3" fillId="0" borderId="1" xfId="0" quotePrefix="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2" fillId="0" borderId="14" xfId="0" applyFont="1" applyBorder="1" applyAlignment="1">
      <alignment horizontal="center" vertical="center"/>
    </xf>
    <xf numFmtId="4" fontId="3" fillId="0" borderId="2" xfId="0" applyNumberFormat="1" applyFont="1" applyBorder="1" applyAlignment="1">
      <alignment horizontal="right" vertical="center" wrapText="1"/>
    </xf>
    <xf numFmtId="3" fontId="6" fillId="0" borderId="2"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 xfId="0" quotePrefix="1" applyFont="1" applyBorder="1" applyAlignment="1">
      <alignment horizontal="center" vertical="center"/>
    </xf>
    <xf numFmtId="164" fontId="14" fillId="0" borderId="1" xfId="0" quotePrefix="1" applyNumberFormat="1"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3" fillId="0" borderId="1" xfId="0" applyFont="1" applyBorder="1" applyAlignment="1">
      <alignmen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165" fontId="2"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4" fontId="8" fillId="0" borderId="0" xfId="0" applyNumberFormat="1" applyFont="1" applyAlignment="1">
      <alignment horizontal="right" vertical="center" wrapText="1"/>
    </xf>
    <xf numFmtId="165" fontId="8" fillId="0" borderId="0" xfId="0" applyNumberFormat="1" applyFont="1" applyAlignment="1">
      <alignment horizontal="center" vertical="center" wrapText="1"/>
    </xf>
    <xf numFmtId="0" fontId="5" fillId="0" borderId="0" xfId="0" applyFont="1" applyAlignment="1">
      <alignment horizontal="center" vertical="center" wrapText="1"/>
    </xf>
    <xf numFmtId="20" fontId="5" fillId="0" borderId="1" xfId="0" quotePrefix="1" applyNumberFormat="1" applyFont="1" applyBorder="1" applyAlignment="1">
      <alignment horizontal="center" vertical="center" wrapText="1"/>
    </xf>
    <xf numFmtId="20" fontId="6" fillId="0" borderId="1" xfId="0" quotePrefix="1" applyNumberFormat="1" applyFont="1" applyBorder="1" applyAlignment="1">
      <alignment horizontal="center" vertical="center" wrapText="1"/>
    </xf>
    <xf numFmtId="16" fontId="6"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4" fillId="0" borderId="2" xfId="0" applyFont="1" applyBorder="1" applyAlignment="1">
      <alignment horizontal="center" vertical="center" wrapText="1"/>
    </xf>
    <xf numFmtId="164" fontId="18" fillId="0" borderId="1" xfId="0" applyNumberFormat="1" applyFont="1" applyBorder="1" applyAlignment="1">
      <alignment horizontal="center" vertical="center" wrapText="1"/>
    </xf>
    <xf numFmtId="46" fontId="17" fillId="0" borderId="1" xfId="0" quotePrefix="1" applyNumberFormat="1" applyFont="1" applyBorder="1" applyAlignment="1">
      <alignment horizontal="center" vertical="center" wrapText="1"/>
    </xf>
    <xf numFmtId="4" fontId="2" fillId="0" borderId="1" xfId="0" applyNumberFormat="1" applyFont="1" applyBorder="1" applyAlignment="1">
      <alignment vertical="center"/>
    </xf>
    <xf numFmtId="0" fontId="9" fillId="0" borderId="1" xfId="0" applyFont="1" applyBorder="1" applyAlignment="1">
      <alignment horizontal="center" vertical="center" wrapText="1"/>
    </xf>
    <xf numFmtId="0" fontId="9" fillId="0" borderId="0" xfId="0" applyFont="1" applyAlignment="1">
      <alignment vertical="center" wrapText="1"/>
    </xf>
    <xf numFmtId="4" fontId="6" fillId="0" borderId="1" xfId="0" applyNumberFormat="1" applyFont="1" applyBorder="1" applyAlignment="1">
      <alignment vertical="center" wrapText="1"/>
    </xf>
    <xf numFmtId="164" fontId="6" fillId="0" borderId="1" xfId="0" quotePrefix="1" applyNumberFormat="1" applyFont="1" applyBorder="1" applyAlignment="1">
      <alignment horizontal="center" vertical="center" wrapText="1"/>
    </xf>
    <xf numFmtId="164" fontId="9" fillId="0" borderId="1" xfId="0" quotePrefix="1"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2" fillId="0" borderId="19" xfId="0" applyFont="1" applyBorder="1" applyAlignment="1">
      <alignment vertical="center" wrapText="1"/>
    </xf>
    <xf numFmtId="0" fontId="2" fillId="0" borderId="23" xfId="0" applyFont="1" applyBorder="1" applyAlignment="1">
      <alignment horizontal="center" vertical="center"/>
    </xf>
    <xf numFmtId="4" fontId="2" fillId="0" borderId="0" xfId="0" applyNumberFormat="1" applyFont="1" applyAlignment="1">
      <alignment vertical="center" wrapText="1"/>
    </xf>
    <xf numFmtId="0" fontId="4" fillId="0" borderId="0" xfId="0" applyFont="1" applyAlignment="1">
      <alignment horizontal="center" vertical="center" wrapText="1"/>
    </xf>
    <xf numFmtId="4" fontId="3" fillId="0" borderId="3" xfId="0" applyNumberFormat="1" applyFont="1" applyBorder="1" applyAlignment="1">
      <alignment vertical="center" wrapText="1"/>
    </xf>
    <xf numFmtId="3" fontId="2" fillId="0" borderId="0" xfId="0" applyNumberFormat="1" applyFont="1" applyAlignment="1">
      <alignment horizontal="center" vertical="center" wrapText="1"/>
    </xf>
    <xf numFmtId="0" fontId="8" fillId="0" borderId="0" xfId="0" applyFont="1" applyAlignment="1">
      <alignment vertical="center" wrapText="1"/>
    </xf>
    <xf numFmtId="4" fontId="8" fillId="0" borderId="0" xfId="0" applyNumberFormat="1" applyFont="1" applyAlignment="1">
      <alignment vertical="center" wrapText="1"/>
    </xf>
    <xf numFmtId="3"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Migliaia" xfId="1" builtinId="3"/>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142A-FA8F-4406-96A4-93539E68CA12}">
  <dimension ref="A1:T529"/>
  <sheetViews>
    <sheetView tabSelected="1" zoomScaleNormal="100" zoomScaleSheetLayoutView="100" workbookViewId="0">
      <pane xSplit="5" ySplit="1" topLeftCell="F526" activePane="bottomRight" state="frozen"/>
      <selection pane="topRight" activeCell="F1" sqref="F1"/>
      <selection pane="bottomLeft" activeCell="A4" sqref="A4"/>
      <selection pane="bottomRight" activeCell="A529" sqref="A529"/>
    </sheetView>
  </sheetViews>
  <sheetFormatPr defaultColWidth="9.140625" defaultRowHeight="12.75" x14ac:dyDescent="0.25"/>
  <cols>
    <col min="1" max="1" width="3.5703125" style="43" customWidth="1"/>
    <col min="2" max="2" width="4.85546875" style="136" customWidth="1"/>
    <col min="3" max="3" width="18.42578125" style="159" customWidth="1"/>
    <col min="4" max="4" width="6" style="156" customWidth="1"/>
    <col min="5" max="5" width="13.28515625" style="155" bestFit="1" customWidth="1"/>
    <col min="6" max="6" width="12.42578125" style="160" customWidth="1"/>
    <col min="7" max="7" width="9.5703125" style="130" bestFit="1" customWidth="1"/>
    <col min="8" max="9" width="8.7109375" style="130" bestFit="1" customWidth="1"/>
    <col min="10" max="10" width="8" style="131" customWidth="1"/>
    <col min="11" max="11" width="11.85546875" style="132" customWidth="1"/>
    <col min="12" max="12" width="9.140625" style="133" customWidth="1"/>
    <col min="13" max="13" width="12.7109375" style="134" customWidth="1"/>
    <col min="14" max="14" width="7.140625" style="135" customWidth="1"/>
    <col min="15" max="15" width="9.140625" style="130" customWidth="1"/>
    <col min="16" max="16" width="3.7109375" style="161" bestFit="1" customWidth="1"/>
    <col min="17" max="17" width="8.28515625" style="162" customWidth="1"/>
    <col min="18" max="18" width="8.7109375" style="52" customWidth="1"/>
    <col min="19" max="19" width="9.140625" style="162" customWidth="1"/>
    <col min="20" max="20" width="15.28515625" style="162" customWidth="1"/>
    <col min="21" max="16384" width="9.140625" style="159"/>
  </cols>
  <sheetData>
    <row r="1" spans="1:20" s="136" customFormat="1" ht="54" x14ac:dyDescent="0.25">
      <c r="A1" s="19" t="s">
        <v>0</v>
      </c>
      <c r="C1" s="23" t="s">
        <v>1</v>
      </c>
      <c r="D1" s="20" t="s">
        <v>2</v>
      </c>
      <c r="E1" s="63" t="s">
        <v>3</v>
      </c>
      <c r="F1" s="24" t="s">
        <v>4</v>
      </c>
      <c r="G1" s="21" t="s">
        <v>5</v>
      </c>
      <c r="H1" s="21" t="s">
        <v>6</v>
      </c>
      <c r="I1" s="22" t="s">
        <v>7</v>
      </c>
      <c r="J1" s="21" t="s">
        <v>8</v>
      </c>
      <c r="K1" s="23" t="s">
        <v>9</v>
      </c>
      <c r="L1" s="23" t="s">
        <v>10</v>
      </c>
      <c r="M1" s="24" t="s">
        <v>11</v>
      </c>
      <c r="N1" s="25" t="s">
        <v>12</v>
      </c>
      <c r="O1" s="21" t="s">
        <v>13</v>
      </c>
      <c r="P1" s="117" t="s">
        <v>14</v>
      </c>
      <c r="Q1" s="21" t="s">
        <v>1557</v>
      </c>
      <c r="R1" s="26" t="s">
        <v>15</v>
      </c>
      <c r="S1" s="21" t="s">
        <v>16</v>
      </c>
      <c r="T1" s="22" t="s">
        <v>17</v>
      </c>
    </row>
    <row r="2" spans="1:20" s="43" customFormat="1" ht="90" x14ac:dyDescent="0.25">
      <c r="A2" s="41" t="s">
        <v>18</v>
      </c>
      <c r="B2" s="23">
        <v>1</v>
      </c>
      <c r="C2" s="41" t="s">
        <v>1558</v>
      </c>
      <c r="D2" s="42"/>
      <c r="E2" s="33">
        <v>45000</v>
      </c>
      <c r="F2" s="33">
        <v>40400</v>
      </c>
      <c r="G2" s="26">
        <v>40169</v>
      </c>
      <c r="H2" s="27" t="s">
        <v>19</v>
      </c>
      <c r="I2" s="27" t="s">
        <v>19</v>
      </c>
      <c r="J2" s="28">
        <v>40205</v>
      </c>
      <c r="K2" s="29" t="s">
        <v>20</v>
      </c>
      <c r="L2" s="30">
        <v>0.05</v>
      </c>
      <c r="M2" s="31">
        <v>38402.559999999998</v>
      </c>
      <c r="N2" s="32"/>
      <c r="O2" s="26">
        <v>40239</v>
      </c>
      <c r="P2" s="40">
        <v>60</v>
      </c>
      <c r="Q2" s="26">
        <v>40336</v>
      </c>
      <c r="R2" s="26"/>
      <c r="S2" s="26">
        <v>40393</v>
      </c>
      <c r="T2" s="26">
        <v>40430</v>
      </c>
    </row>
    <row r="3" spans="1:20" s="43" customFormat="1" ht="90" x14ac:dyDescent="0.25">
      <c r="A3" s="41" t="s">
        <v>21</v>
      </c>
      <c r="B3" s="23">
        <v>2</v>
      </c>
      <c r="C3" s="41" t="s">
        <v>1559</v>
      </c>
      <c r="D3" s="42"/>
      <c r="E3" s="33">
        <v>6000000</v>
      </c>
      <c r="F3" s="33">
        <v>5124000</v>
      </c>
      <c r="G3" s="26">
        <v>40177</v>
      </c>
      <c r="H3" s="26">
        <v>40235</v>
      </c>
      <c r="I3" s="26" t="s">
        <v>22</v>
      </c>
      <c r="J3" s="28" t="s">
        <v>23</v>
      </c>
      <c r="K3" s="34" t="s">
        <v>1560</v>
      </c>
      <c r="L3" s="35">
        <v>0.13461999999999999</v>
      </c>
      <c r="M3" s="31">
        <v>4461798.84</v>
      </c>
      <c r="N3" s="32"/>
      <c r="O3" s="26">
        <v>40668</v>
      </c>
      <c r="P3" s="40">
        <v>550</v>
      </c>
      <c r="Q3" s="26">
        <v>40704</v>
      </c>
      <c r="R3" s="26">
        <v>40721</v>
      </c>
      <c r="S3" s="28">
        <v>41731</v>
      </c>
      <c r="T3" s="26" t="s">
        <v>24</v>
      </c>
    </row>
    <row r="4" spans="1:20" s="43" customFormat="1" ht="22.5" x14ac:dyDescent="0.25">
      <c r="A4" s="41" t="s">
        <v>21</v>
      </c>
      <c r="B4" s="53" t="s">
        <v>25</v>
      </c>
      <c r="C4" s="41" t="s">
        <v>26</v>
      </c>
      <c r="D4" s="42"/>
      <c r="E4" s="33"/>
      <c r="F4" s="33"/>
      <c r="G4" s="26"/>
      <c r="H4" s="26"/>
      <c r="I4" s="26"/>
      <c r="J4" s="28"/>
      <c r="K4" s="34"/>
      <c r="L4" s="35"/>
      <c r="M4" s="31">
        <v>373842.05</v>
      </c>
      <c r="N4" s="32"/>
      <c r="O4" s="26"/>
      <c r="P4" s="40"/>
      <c r="Q4" s="26"/>
      <c r="R4" s="26"/>
      <c r="S4" s="26"/>
      <c r="T4" s="26"/>
    </row>
    <row r="5" spans="1:20" s="43" customFormat="1" ht="11.25" x14ac:dyDescent="0.2">
      <c r="A5" s="41" t="s">
        <v>21</v>
      </c>
      <c r="B5" s="53" t="s">
        <v>27</v>
      </c>
      <c r="C5" s="41" t="s">
        <v>28</v>
      </c>
      <c r="D5" s="42"/>
      <c r="E5" s="33"/>
      <c r="F5" s="33"/>
      <c r="G5" s="26"/>
      <c r="H5" s="26"/>
      <c r="I5" s="26"/>
      <c r="J5" s="28"/>
      <c r="K5" s="34"/>
      <c r="L5" s="35"/>
      <c r="M5" s="36">
        <v>269064.38</v>
      </c>
      <c r="N5" s="37"/>
      <c r="O5" s="26"/>
      <c r="P5" s="40"/>
      <c r="Q5" s="26"/>
      <c r="R5" s="26"/>
      <c r="S5" s="26"/>
      <c r="T5" s="26"/>
    </row>
    <row r="6" spans="1:20" s="43" customFormat="1" ht="78.75" x14ac:dyDescent="0.25">
      <c r="A6" s="41" t="s">
        <v>29</v>
      </c>
      <c r="B6" s="23">
        <v>3</v>
      </c>
      <c r="C6" s="41" t="s">
        <v>1561</v>
      </c>
      <c r="D6" s="42"/>
      <c r="E6" s="33">
        <v>6488500</v>
      </c>
      <c r="F6" s="33">
        <v>5100000</v>
      </c>
      <c r="G6" s="26">
        <v>40177</v>
      </c>
      <c r="H6" s="26">
        <v>40238</v>
      </c>
      <c r="I6" s="26" t="s">
        <v>30</v>
      </c>
      <c r="J6" s="28" t="s">
        <v>31</v>
      </c>
      <c r="K6" s="34" t="s">
        <v>32</v>
      </c>
      <c r="L6" s="35">
        <v>0.17849000000000001</v>
      </c>
      <c r="M6" s="31">
        <v>4220258.49</v>
      </c>
      <c r="N6" s="32"/>
      <c r="O6" s="26">
        <v>40722</v>
      </c>
      <c r="P6" s="40">
        <v>400</v>
      </c>
      <c r="Q6" s="26">
        <v>41088</v>
      </c>
      <c r="R6" s="26" t="s">
        <v>33</v>
      </c>
      <c r="S6" s="26" t="s">
        <v>34</v>
      </c>
      <c r="T6" s="26" t="s">
        <v>35</v>
      </c>
    </row>
    <row r="7" spans="1:20" s="43" customFormat="1" ht="45" x14ac:dyDescent="0.25">
      <c r="A7" s="41" t="s">
        <v>29</v>
      </c>
      <c r="B7" s="44" t="s">
        <v>36</v>
      </c>
      <c r="C7" s="41" t="s">
        <v>37</v>
      </c>
      <c r="D7" s="42"/>
      <c r="E7" s="33"/>
      <c r="F7" s="33">
        <v>98000</v>
      </c>
      <c r="G7" s="26" t="s">
        <v>38</v>
      </c>
      <c r="H7" s="27" t="s">
        <v>39</v>
      </c>
      <c r="I7" s="27" t="s">
        <v>39</v>
      </c>
      <c r="J7" s="28">
        <v>40709</v>
      </c>
      <c r="K7" s="29" t="s">
        <v>40</v>
      </c>
      <c r="L7" s="39">
        <v>3.5999999999999997E-2</v>
      </c>
      <c r="M7" s="31">
        <v>95000</v>
      </c>
      <c r="N7" s="32"/>
      <c r="O7" s="26">
        <v>40785</v>
      </c>
      <c r="P7" s="40"/>
      <c r="Q7" s="26"/>
      <c r="R7" s="26"/>
      <c r="S7" s="26" t="s">
        <v>41</v>
      </c>
      <c r="T7" s="26"/>
    </row>
    <row r="8" spans="1:20" s="43" customFormat="1" ht="33.75" x14ac:dyDescent="0.25">
      <c r="A8" s="41" t="s">
        <v>29</v>
      </c>
      <c r="B8" s="44" t="s">
        <v>42</v>
      </c>
      <c r="C8" s="41" t="s">
        <v>43</v>
      </c>
      <c r="D8" s="42"/>
      <c r="E8" s="33"/>
      <c r="F8" s="33"/>
      <c r="G8" s="26"/>
      <c r="H8" s="27"/>
      <c r="I8" s="27"/>
      <c r="J8" s="28"/>
      <c r="K8" s="29" t="s">
        <v>40</v>
      </c>
      <c r="L8" s="39"/>
      <c r="M8" s="31">
        <v>223000</v>
      </c>
      <c r="N8" s="32"/>
      <c r="O8" s="26">
        <v>40883</v>
      </c>
      <c r="P8" s="40"/>
      <c r="Q8" s="26"/>
      <c r="R8" s="26"/>
      <c r="S8" s="26" t="s">
        <v>44</v>
      </c>
      <c r="T8" s="26"/>
    </row>
    <row r="9" spans="1:20" s="43" customFormat="1" ht="112.5" x14ac:dyDescent="0.25">
      <c r="A9" s="41" t="s">
        <v>21</v>
      </c>
      <c r="B9" s="23">
        <v>4</v>
      </c>
      <c r="C9" s="41" t="s">
        <v>1562</v>
      </c>
      <c r="D9" s="42"/>
      <c r="E9" s="33"/>
      <c r="F9" s="33">
        <v>499000</v>
      </c>
      <c r="G9" s="26">
        <v>40254</v>
      </c>
      <c r="H9" s="26">
        <v>40275</v>
      </c>
      <c r="I9" s="26">
        <v>40283</v>
      </c>
      <c r="J9" s="28">
        <v>40308</v>
      </c>
      <c r="K9" s="38" t="s">
        <v>45</v>
      </c>
      <c r="L9" s="39">
        <v>0.10780000000000001</v>
      </c>
      <c r="M9" s="31">
        <v>447728.84</v>
      </c>
      <c r="N9" s="32"/>
      <c r="O9" s="26">
        <v>40394</v>
      </c>
      <c r="P9" s="40">
        <v>180</v>
      </c>
      <c r="Q9" s="26">
        <v>40471</v>
      </c>
      <c r="R9" s="26">
        <v>40506</v>
      </c>
      <c r="S9" s="26">
        <v>40798</v>
      </c>
      <c r="T9" s="26">
        <v>40844</v>
      </c>
    </row>
    <row r="10" spans="1:20" s="43" customFormat="1" ht="45" x14ac:dyDescent="0.25">
      <c r="A10" s="41" t="s">
        <v>18</v>
      </c>
      <c r="B10" s="23">
        <v>5</v>
      </c>
      <c r="C10" s="41" t="s">
        <v>1563</v>
      </c>
      <c r="D10" s="42"/>
      <c r="E10" s="33"/>
      <c r="F10" s="33">
        <v>493732.14</v>
      </c>
      <c r="G10" s="26">
        <v>40260</v>
      </c>
      <c r="H10" s="26">
        <v>40281</v>
      </c>
      <c r="I10" s="26">
        <v>40296</v>
      </c>
      <c r="J10" s="28">
        <v>40333</v>
      </c>
      <c r="K10" s="38" t="s">
        <v>46</v>
      </c>
      <c r="L10" s="35">
        <v>0.16700999999999999</v>
      </c>
      <c r="M10" s="31">
        <v>413439.55</v>
      </c>
      <c r="N10" s="32"/>
      <c r="O10" s="26">
        <v>40434</v>
      </c>
      <c r="P10" s="40">
        <v>322</v>
      </c>
      <c r="Q10" s="26">
        <v>40479</v>
      </c>
      <c r="R10" s="26" t="s">
        <v>47</v>
      </c>
      <c r="S10" s="26">
        <v>40801</v>
      </c>
      <c r="T10" s="26">
        <v>40890</v>
      </c>
    </row>
    <row r="11" spans="1:20" s="43" customFormat="1" ht="45" x14ac:dyDescent="0.25">
      <c r="A11" s="41" t="s">
        <v>18</v>
      </c>
      <c r="B11" s="137" t="s">
        <v>48</v>
      </c>
      <c r="C11" s="41" t="s">
        <v>49</v>
      </c>
      <c r="D11" s="42"/>
      <c r="E11" s="33"/>
      <c r="F11" s="33"/>
      <c r="G11" s="26"/>
      <c r="H11" s="26"/>
      <c r="I11" s="26"/>
      <c r="J11" s="28"/>
      <c r="K11" s="38" t="s">
        <v>46</v>
      </c>
      <c r="L11" s="35"/>
      <c r="M11" s="31">
        <v>9829.2800000000007</v>
      </c>
      <c r="N11" s="32"/>
      <c r="O11" s="26">
        <v>40855</v>
      </c>
      <c r="P11" s="40"/>
      <c r="Q11" s="26"/>
      <c r="R11" s="26"/>
      <c r="S11" s="26">
        <v>40983</v>
      </c>
      <c r="T11" s="26"/>
    </row>
    <row r="12" spans="1:20" s="43" customFormat="1" ht="67.5" x14ac:dyDescent="0.25">
      <c r="A12" s="41" t="s">
        <v>29</v>
      </c>
      <c r="B12" s="23">
        <v>6</v>
      </c>
      <c r="C12" s="41" t="s">
        <v>1564</v>
      </c>
      <c r="D12" s="42"/>
      <c r="E12" s="33">
        <v>300000</v>
      </c>
      <c r="F12" s="33">
        <v>258066.38</v>
      </c>
      <c r="G12" s="26">
        <v>40262</v>
      </c>
      <c r="H12" s="26">
        <v>40283</v>
      </c>
      <c r="I12" s="26">
        <v>40304</v>
      </c>
      <c r="J12" s="28">
        <v>40347</v>
      </c>
      <c r="K12" s="38" t="s">
        <v>50</v>
      </c>
      <c r="L12" s="39">
        <v>5.6500000000000002E-2</v>
      </c>
      <c r="M12" s="31">
        <v>244260.49</v>
      </c>
      <c r="N12" s="32"/>
      <c r="O12" s="26">
        <v>40450</v>
      </c>
      <c r="P12" s="40">
        <v>180</v>
      </c>
      <c r="Q12" s="26">
        <v>40574</v>
      </c>
      <c r="R12" s="26">
        <v>40576</v>
      </c>
      <c r="S12" s="26">
        <v>41177</v>
      </c>
      <c r="T12" s="26">
        <v>41193</v>
      </c>
    </row>
    <row r="13" spans="1:20" s="43" customFormat="1" ht="146.25" x14ac:dyDescent="0.25">
      <c r="A13" s="41" t="s">
        <v>18</v>
      </c>
      <c r="B13" s="23">
        <v>7</v>
      </c>
      <c r="C13" s="41" t="s">
        <v>1565</v>
      </c>
      <c r="D13" s="42"/>
      <c r="E13" s="33">
        <v>1950000</v>
      </c>
      <c r="F13" s="33">
        <v>1819857.77</v>
      </c>
      <c r="G13" s="26">
        <v>40326</v>
      </c>
      <c r="H13" s="26">
        <v>40350</v>
      </c>
      <c r="I13" s="26" t="s">
        <v>51</v>
      </c>
      <c r="J13" s="28" t="s">
        <v>52</v>
      </c>
      <c r="K13" s="29" t="s">
        <v>1566</v>
      </c>
      <c r="L13" s="35">
        <v>8.3699999999999997E-2</v>
      </c>
      <c r="M13" s="31">
        <v>1671991.64</v>
      </c>
      <c r="N13" s="32"/>
      <c r="O13" s="26">
        <v>40710</v>
      </c>
      <c r="P13" s="40">
        <v>540</v>
      </c>
      <c r="Q13" s="26">
        <v>40801</v>
      </c>
      <c r="R13" s="26">
        <v>40802</v>
      </c>
      <c r="S13" s="28">
        <v>41835</v>
      </c>
      <c r="T13" s="26" t="s">
        <v>53</v>
      </c>
    </row>
    <row r="14" spans="1:20" s="43" customFormat="1" ht="22.5" x14ac:dyDescent="0.25">
      <c r="A14" s="41" t="s">
        <v>18</v>
      </c>
      <c r="B14" s="53" t="s">
        <v>54</v>
      </c>
      <c r="C14" s="41" t="s">
        <v>26</v>
      </c>
      <c r="D14" s="42"/>
      <c r="E14" s="33"/>
      <c r="F14" s="33"/>
      <c r="G14" s="26"/>
      <c r="H14" s="26"/>
      <c r="I14" s="26"/>
      <c r="J14" s="28"/>
      <c r="K14" s="34"/>
      <c r="L14" s="35"/>
      <c r="M14" s="31">
        <v>350000</v>
      </c>
      <c r="N14" s="32"/>
      <c r="O14" s="26"/>
      <c r="P14" s="40"/>
      <c r="Q14" s="26"/>
      <c r="R14" s="26"/>
      <c r="S14" s="26"/>
      <c r="T14" s="26"/>
    </row>
    <row r="15" spans="1:20" s="43" customFormat="1" ht="101.25" x14ac:dyDescent="0.25">
      <c r="A15" s="41" t="s">
        <v>29</v>
      </c>
      <c r="B15" s="23">
        <v>8</v>
      </c>
      <c r="C15" s="41" t="s">
        <v>1567</v>
      </c>
      <c r="D15" s="42"/>
      <c r="E15" s="33">
        <v>565000</v>
      </c>
      <c r="F15" s="33">
        <v>480000</v>
      </c>
      <c r="G15" s="26">
        <v>40338</v>
      </c>
      <c r="H15" s="26">
        <v>40372</v>
      </c>
      <c r="I15" s="26" t="s">
        <v>55</v>
      </c>
      <c r="J15" s="28" t="s">
        <v>56</v>
      </c>
      <c r="K15" s="29" t="s">
        <v>57</v>
      </c>
      <c r="L15" s="35">
        <v>6.2509999999999996E-2</v>
      </c>
      <c r="M15" s="31">
        <v>450702.8</v>
      </c>
      <c r="N15" s="32"/>
      <c r="O15" s="26">
        <v>40491</v>
      </c>
      <c r="P15" s="40">
        <v>250</v>
      </c>
      <c r="Q15" s="26">
        <v>40491</v>
      </c>
      <c r="R15" s="26" t="s">
        <v>58</v>
      </c>
      <c r="S15" s="26">
        <v>41023</v>
      </c>
      <c r="T15" s="26">
        <v>41121</v>
      </c>
    </row>
    <row r="16" spans="1:20" s="43" customFormat="1" ht="90" x14ac:dyDescent="0.25">
      <c r="A16" s="41" t="s">
        <v>18</v>
      </c>
      <c r="B16" s="23">
        <v>9</v>
      </c>
      <c r="C16" s="41" t="s">
        <v>1568</v>
      </c>
      <c r="D16" s="42"/>
      <c r="E16" s="33">
        <v>451174</v>
      </c>
      <c r="F16" s="33">
        <v>380000</v>
      </c>
      <c r="G16" s="26">
        <v>40345</v>
      </c>
      <c r="H16" s="26">
        <v>40373</v>
      </c>
      <c r="I16" s="26" t="s">
        <v>59</v>
      </c>
      <c r="J16" s="28" t="s">
        <v>60</v>
      </c>
      <c r="K16" s="29" t="s">
        <v>61</v>
      </c>
      <c r="L16" s="39">
        <v>8.4000000000000005E-2</v>
      </c>
      <c r="M16" s="31">
        <v>349197.2</v>
      </c>
      <c r="N16" s="32"/>
      <c r="O16" s="26">
        <v>40505</v>
      </c>
      <c r="P16" s="40">
        <v>357</v>
      </c>
      <c r="Q16" s="26">
        <v>40527</v>
      </c>
      <c r="R16" s="26" t="s">
        <v>62</v>
      </c>
      <c r="S16" s="26">
        <v>41045</v>
      </c>
      <c r="T16" s="26">
        <v>41087</v>
      </c>
    </row>
    <row r="17" spans="1:20" s="43" customFormat="1" ht="78.75" x14ac:dyDescent="0.25">
      <c r="A17" s="41" t="s">
        <v>21</v>
      </c>
      <c r="B17" s="23">
        <v>10</v>
      </c>
      <c r="C17" s="41" t="s">
        <v>1569</v>
      </c>
      <c r="D17" s="42"/>
      <c r="E17" s="6">
        <v>1730000</v>
      </c>
      <c r="F17" s="33">
        <v>1600000</v>
      </c>
      <c r="G17" s="26">
        <v>40354</v>
      </c>
      <c r="H17" s="26">
        <v>40382</v>
      </c>
      <c r="I17" s="26" t="s">
        <v>63</v>
      </c>
      <c r="J17" s="28" t="s">
        <v>64</v>
      </c>
      <c r="K17" s="34" t="s">
        <v>65</v>
      </c>
      <c r="L17" s="38">
        <v>23.289000000000001</v>
      </c>
      <c r="M17" s="31">
        <v>1246007.2</v>
      </c>
      <c r="N17" s="32"/>
      <c r="O17" s="26">
        <v>40897</v>
      </c>
      <c r="P17" s="40">
        <v>140</v>
      </c>
      <c r="Q17" s="26">
        <v>40968</v>
      </c>
      <c r="R17" s="26" t="s">
        <v>66</v>
      </c>
      <c r="S17" s="26">
        <v>41568</v>
      </c>
      <c r="T17" s="26">
        <v>41675</v>
      </c>
    </row>
    <row r="18" spans="1:20" s="43" customFormat="1" ht="22.5" x14ac:dyDescent="0.25">
      <c r="A18" s="41" t="s">
        <v>21</v>
      </c>
      <c r="B18" s="53" t="s">
        <v>67</v>
      </c>
      <c r="C18" s="41" t="s">
        <v>68</v>
      </c>
      <c r="D18" s="42"/>
      <c r="E18" s="6"/>
      <c r="F18" s="33"/>
      <c r="G18" s="26"/>
      <c r="H18" s="26"/>
      <c r="I18" s="26"/>
      <c r="J18" s="28"/>
      <c r="K18" s="34"/>
      <c r="L18" s="38"/>
      <c r="M18" s="31">
        <v>334583.08</v>
      </c>
      <c r="N18" s="32"/>
      <c r="O18" s="26"/>
      <c r="P18" s="40"/>
      <c r="Q18" s="26"/>
      <c r="R18" s="26"/>
      <c r="T18" s="26"/>
    </row>
    <row r="19" spans="1:20" s="43" customFormat="1" ht="56.25" x14ac:dyDescent="0.25">
      <c r="A19" s="41" t="s">
        <v>18</v>
      </c>
      <c r="B19" s="23">
        <v>11</v>
      </c>
      <c r="C19" s="41" t="s">
        <v>1570</v>
      </c>
      <c r="D19" s="42"/>
      <c r="E19" s="33">
        <v>81427.649999999994</v>
      </c>
      <c r="F19" s="33">
        <v>77039.600000000006</v>
      </c>
      <c r="G19" s="27" t="s">
        <v>39</v>
      </c>
      <c r="H19" s="27" t="s">
        <v>39</v>
      </c>
      <c r="I19" s="26" t="s">
        <v>69</v>
      </c>
      <c r="J19" s="28"/>
      <c r="K19" s="29" t="s">
        <v>70</v>
      </c>
      <c r="L19" s="39">
        <v>1.4999999999999999E-2</v>
      </c>
      <c r="M19" s="31">
        <v>75918.67</v>
      </c>
      <c r="N19" s="32"/>
      <c r="O19" s="26">
        <v>40431</v>
      </c>
      <c r="P19" s="40">
        <v>180</v>
      </c>
      <c r="Q19" s="26">
        <v>40469</v>
      </c>
      <c r="R19" s="26"/>
      <c r="S19" s="26">
        <v>40651</v>
      </c>
      <c r="T19" s="26">
        <v>40767</v>
      </c>
    </row>
    <row r="20" spans="1:20" s="43" customFormat="1" ht="101.25" x14ac:dyDescent="0.25">
      <c r="A20" s="41" t="s">
        <v>29</v>
      </c>
      <c r="B20" s="23">
        <v>12</v>
      </c>
      <c r="C20" s="41" t="s">
        <v>1571</v>
      </c>
      <c r="D20" s="42"/>
      <c r="E20" s="33">
        <v>220000</v>
      </c>
      <c r="F20" s="33">
        <v>176683</v>
      </c>
      <c r="G20" s="27" t="s">
        <v>39</v>
      </c>
      <c r="H20" s="27" t="s">
        <v>39</v>
      </c>
      <c r="I20" s="26">
        <v>40374</v>
      </c>
      <c r="J20" s="28">
        <v>40421</v>
      </c>
      <c r="K20" s="29" t="s">
        <v>71</v>
      </c>
      <c r="L20" s="39">
        <v>5.5300000000000002E-2</v>
      </c>
      <c r="M20" s="31">
        <v>167025.06</v>
      </c>
      <c r="N20" s="32"/>
      <c r="O20" s="26">
        <v>40486</v>
      </c>
      <c r="P20" s="40"/>
      <c r="Q20" s="26">
        <v>40477</v>
      </c>
      <c r="R20" s="26"/>
      <c r="S20" s="26">
        <v>40756</v>
      </c>
      <c r="T20" s="26">
        <v>40760</v>
      </c>
    </row>
    <row r="21" spans="1:20" s="43" customFormat="1" ht="157.5" x14ac:dyDescent="0.25">
      <c r="A21" s="41" t="s">
        <v>21</v>
      </c>
      <c r="B21" s="23">
        <v>13</v>
      </c>
      <c r="C21" s="41" t="s">
        <v>72</v>
      </c>
      <c r="D21" s="42" t="s">
        <v>73</v>
      </c>
      <c r="E21" s="33"/>
      <c r="F21" s="33">
        <v>766465.94</v>
      </c>
      <c r="G21" s="26">
        <v>40399</v>
      </c>
      <c r="H21" s="27" t="s">
        <v>39</v>
      </c>
      <c r="I21" s="27" t="s">
        <v>39</v>
      </c>
      <c r="J21" s="28" t="s">
        <v>74</v>
      </c>
      <c r="K21" s="29" t="s">
        <v>75</v>
      </c>
      <c r="L21" s="39">
        <v>6.1699999999999998E-2</v>
      </c>
      <c r="M21" s="31">
        <v>720532.63</v>
      </c>
      <c r="N21" s="32"/>
      <c r="O21" s="26">
        <v>40492</v>
      </c>
      <c r="P21" s="40">
        <v>210</v>
      </c>
      <c r="Q21" s="26">
        <v>40492</v>
      </c>
      <c r="R21" s="26">
        <v>40507</v>
      </c>
      <c r="S21" s="26">
        <v>41053</v>
      </c>
      <c r="T21" s="26">
        <v>41113</v>
      </c>
    </row>
    <row r="22" spans="1:20" s="43" customFormat="1" ht="90" x14ac:dyDescent="0.25">
      <c r="A22" s="41" t="s">
        <v>21</v>
      </c>
      <c r="B22" s="23">
        <v>14</v>
      </c>
      <c r="C22" s="41" t="s">
        <v>76</v>
      </c>
      <c r="D22" s="42" t="s">
        <v>73</v>
      </c>
      <c r="E22" s="33"/>
      <c r="F22" s="33">
        <v>211142.93</v>
      </c>
      <c r="G22" s="26">
        <v>40399</v>
      </c>
      <c r="H22" s="27" t="s">
        <v>39</v>
      </c>
      <c r="I22" s="27" t="s">
        <v>39</v>
      </c>
      <c r="J22" s="28" t="s">
        <v>77</v>
      </c>
      <c r="K22" s="29" t="s">
        <v>78</v>
      </c>
      <c r="L22" s="39">
        <v>6.0600000000000001E-2</v>
      </c>
      <c r="M22" s="31">
        <v>198683.05</v>
      </c>
      <c r="N22" s="32"/>
      <c r="O22" s="26">
        <v>40491</v>
      </c>
      <c r="P22" s="40">
        <v>210</v>
      </c>
      <c r="Q22" s="26">
        <v>40491</v>
      </c>
      <c r="R22" s="26" t="s">
        <v>79</v>
      </c>
      <c r="S22" s="26">
        <v>40760</v>
      </c>
      <c r="T22" s="26">
        <v>40786</v>
      </c>
    </row>
    <row r="23" spans="1:20" s="43" customFormat="1" ht="101.25" x14ac:dyDescent="0.25">
      <c r="A23" s="41" t="s">
        <v>21</v>
      </c>
      <c r="B23" s="23">
        <v>15</v>
      </c>
      <c r="C23" s="41" t="s">
        <v>80</v>
      </c>
      <c r="D23" s="42" t="s">
        <v>73</v>
      </c>
      <c r="E23" s="33"/>
      <c r="F23" s="33">
        <v>152179.6</v>
      </c>
      <c r="G23" s="26">
        <v>40399</v>
      </c>
      <c r="H23" s="27" t="s">
        <v>39</v>
      </c>
      <c r="I23" s="27" t="s">
        <v>39</v>
      </c>
      <c r="J23" s="28" t="s">
        <v>81</v>
      </c>
      <c r="K23" s="29" t="s">
        <v>82</v>
      </c>
      <c r="L23" s="39">
        <v>5.7599999999999998E-2</v>
      </c>
      <c r="M23" s="31">
        <v>143637.38</v>
      </c>
      <c r="N23" s="32"/>
      <c r="O23" s="26">
        <v>40492</v>
      </c>
      <c r="P23" s="40">
        <v>210</v>
      </c>
      <c r="Q23" s="26">
        <v>40492</v>
      </c>
      <c r="R23" s="26" t="s">
        <v>79</v>
      </c>
      <c r="S23" s="26">
        <v>40683</v>
      </c>
      <c r="T23" s="26">
        <v>40693</v>
      </c>
    </row>
    <row r="24" spans="1:20" s="43" customFormat="1" ht="67.5" x14ac:dyDescent="0.25">
      <c r="A24" s="163" t="s">
        <v>21</v>
      </c>
      <c r="B24" s="165">
        <v>16</v>
      </c>
      <c r="C24" s="41" t="s">
        <v>1572</v>
      </c>
      <c r="D24" s="42" t="s">
        <v>83</v>
      </c>
      <c r="E24" s="6">
        <v>3185000</v>
      </c>
      <c r="F24" s="33">
        <v>3000000</v>
      </c>
      <c r="G24" s="26" t="s">
        <v>84</v>
      </c>
      <c r="H24" s="26">
        <v>40806</v>
      </c>
      <c r="I24" s="26">
        <v>40816</v>
      </c>
      <c r="J24" s="28" t="s">
        <v>85</v>
      </c>
      <c r="K24" s="34"/>
      <c r="L24" s="38"/>
      <c r="M24" s="31"/>
      <c r="N24" s="32"/>
      <c r="O24" s="26"/>
      <c r="P24" s="79"/>
      <c r="Q24" s="26"/>
      <c r="R24" s="26"/>
      <c r="S24" s="26"/>
      <c r="T24" s="26"/>
    </row>
    <row r="25" spans="1:20" s="43" customFormat="1" ht="112.5" x14ac:dyDescent="0.25">
      <c r="A25" s="164"/>
      <c r="B25" s="166"/>
      <c r="C25" s="41" t="s">
        <v>86</v>
      </c>
      <c r="D25" s="42"/>
      <c r="E25" s="33"/>
      <c r="F25" s="33"/>
      <c r="G25" s="26"/>
      <c r="H25" s="26"/>
      <c r="I25" s="26" t="s">
        <v>87</v>
      </c>
      <c r="J25" s="28" t="s">
        <v>88</v>
      </c>
      <c r="K25" s="34" t="s">
        <v>1573</v>
      </c>
      <c r="L25" s="1">
        <v>3.737E-2</v>
      </c>
      <c r="M25" s="31">
        <v>2893495.5</v>
      </c>
      <c r="N25" s="32"/>
      <c r="O25" s="26">
        <v>41360</v>
      </c>
      <c r="P25" s="79" t="s">
        <v>89</v>
      </c>
      <c r="Q25" s="26">
        <v>41564</v>
      </c>
      <c r="R25" s="26">
        <v>41564</v>
      </c>
      <c r="S25" s="26">
        <v>41912</v>
      </c>
      <c r="T25" s="22">
        <v>42004</v>
      </c>
    </row>
    <row r="26" spans="1:20" s="43" customFormat="1" ht="78.75" x14ac:dyDescent="0.25">
      <c r="A26" s="41" t="s">
        <v>29</v>
      </c>
      <c r="B26" s="23">
        <v>17</v>
      </c>
      <c r="C26" s="41" t="s">
        <v>1574</v>
      </c>
      <c r="D26" s="42"/>
      <c r="E26" s="33">
        <v>38290.730000000003</v>
      </c>
      <c r="F26" s="33">
        <v>28540.73</v>
      </c>
      <c r="G26" s="26">
        <v>40456</v>
      </c>
      <c r="H26" s="26"/>
      <c r="I26" s="26"/>
      <c r="J26" s="28"/>
      <c r="K26" s="29" t="s">
        <v>71</v>
      </c>
      <c r="L26" s="39">
        <v>7.7100000000000002E-2</v>
      </c>
      <c r="M26" s="31">
        <v>26379.040000000001</v>
      </c>
      <c r="N26" s="32"/>
      <c r="O26" s="26">
        <v>40457</v>
      </c>
      <c r="P26" s="40">
        <v>21</v>
      </c>
      <c r="Q26" s="26">
        <v>40457</v>
      </c>
      <c r="R26" s="26"/>
      <c r="S26" s="26">
        <v>40477</v>
      </c>
      <c r="T26" s="26">
        <v>40553</v>
      </c>
    </row>
    <row r="27" spans="1:20" s="43" customFormat="1" ht="45" x14ac:dyDescent="0.25">
      <c r="A27" s="41" t="s">
        <v>29</v>
      </c>
      <c r="B27" s="23">
        <v>18</v>
      </c>
      <c r="C27" s="41" t="s">
        <v>1575</v>
      </c>
      <c r="D27" s="42" t="s">
        <v>73</v>
      </c>
      <c r="E27" s="33">
        <v>55800</v>
      </c>
      <c r="F27" s="33">
        <v>47833.61</v>
      </c>
      <c r="G27" s="26">
        <v>40633</v>
      </c>
      <c r="H27" s="27" t="s">
        <v>39</v>
      </c>
      <c r="I27" s="27" t="s">
        <v>39</v>
      </c>
      <c r="J27" s="28">
        <v>40672</v>
      </c>
      <c r="K27" s="29" t="s">
        <v>90</v>
      </c>
      <c r="L27" s="39">
        <v>0.20399999999999999</v>
      </c>
      <c r="M27" s="31">
        <v>38648.47</v>
      </c>
      <c r="N27" s="32"/>
      <c r="O27" s="26">
        <v>40736</v>
      </c>
      <c r="P27" s="40">
        <v>120</v>
      </c>
      <c r="Q27" s="26">
        <v>40843</v>
      </c>
      <c r="R27" s="26">
        <v>40821</v>
      </c>
      <c r="S27" s="26">
        <v>41141</v>
      </c>
      <c r="T27" s="26">
        <v>41206</v>
      </c>
    </row>
    <row r="28" spans="1:20" s="43" customFormat="1" ht="56.25" x14ac:dyDescent="0.25">
      <c r="A28" s="41" t="s">
        <v>21</v>
      </c>
      <c r="B28" s="23">
        <v>19</v>
      </c>
      <c r="C28" s="41" t="s">
        <v>91</v>
      </c>
      <c r="D28" s="42" t="s">
        <v>73</v>
      </c>
      <c r="E28" s="33">
        <v>76600</v>
      </c>
      <c r="F28" s="33">
        <v>64450</v>
      </c>
      <c r="G28" s="26" t="s">
        <v>92</v>
      </c>
      <c r="H28" s="27" t="s">
        <v>39</v>
      </c>
      <c r="I28" s="27" t="s">
        <v>39</v>
      </c>
      <c r="J28" s="28">
        <v>40652</v>
      </c>
      <c r="K28" s="29" t="s">
        <v>71</v>
      </c>
      <c r="L28" s="39">
        <v>2.47E-2</v>
      </c>
      <c r="M28" s="31">
        <v>62897.36</v>
      </c>
      <c r="N28" s="32"/>
      <c r="O28" s="26">
        <v>40707</v>
      </c>
      <c r="P28" s="40">
        <v>90</v>
      </c>
      <c r="Q28" s="26">
        <v>40673</v>
      </c>
      <c r="R28" s="26">
        <v>40673</v>
      </c>
      <c r="S28" s="26">
        <v>40802</v>
      </c>
      <c r="T28" s="26">
        <v>40802</v>
      </c>
    </row>
    <row r="29" spans="1:20" s="43" customFormat="1" ht="45" x14ac:dyDescent="0.25">
      <c r="A29" s="41" t="s">
        <v>21</v>
      </c>
      <c r="B29" s="23">
        <v>20</v>
      </c>
      <c r="C29" s="41" t="s">
        <v>1576</v>
      </c>
      <c r="D29" s="42"/>
      <c r="E29" s="33">
        <v>58674.02</v>
      </c>
      <c r="F29" s="33">
        <v>45055.62</v>
      </c>
      <c r="G29" s="27" t="s">
        <v>39</v>
      </c>
      <c r="H29" s="27" t="s">
        <v>39</v>
      </c>
      <c r="I29" s="26" t="s">
        <v>93</v>
      </c>
      <c r="J29" s="28">
        <v>40648</v>
      </c>
      <c r="K29" s="29" t="s">
        <v>94</v>
      </c>
      <c r="L29" s="39">
        <v>6.7799999999999999E-2</v>
      </c>
      <c r="M29" s="31">
        <v>42093.73</v>
      </c>
      <c r="N29" s="32"/>
      <c r="O29" s="26">
        <v>40681</v>
      </c>
      <c r="P29" s="40">
        <v>60</v>
      </c>
      <c r="Q29" s="26">
        <v>40749</v>
      </c>
      <c r="R29" s="26"/>
      <c r="S29" s="26">
        <v>40808</v>
      </c>
      <c r="T29" s="26">
        <v>40995</v>
      </c>
    </row>
    <row r="30" spans="1:20" s="43" customFormat="1" ht="45" x14ac:dyDescent="0.25">
      <c r="A30" s="41" t="s">
        <v>18</v>
      </c>
      <c r="B30" s="23">
        <v>21</v>
      </c>
      <c r="C30" s="41" t="s">
        <v>1577</v>
      </c>
      <c r="D30" s="42"/>
      <c r="E30" s="33">
        <v>48473</v>
      </c>
      <c r="F30" s="33">
        <v>40602</v>
      </c>
      <c r="G30" s="27" t="s">
        <v>39</v>
      </c>
      <c r="H30" s="27" t="s">
        <v>39</v>
      </c>
      <c r="I30" s="26" t="s">
        <v>95</v>
      </c>
      <c r="J30" s="28">
        <v>40648</v>
      </c>
      <c r="K30" s="29" t="s">
        <v>96</v>
      </c>
      <c r="L30" s="39">
        <v>0.02</v>
      </c>
      <c r="M30" s="31">
        <v>39840.17</v>
      </c>
      <c r="N30" s="32"/>
      <c r="O30" s="26">
        <v>40689</v>
      </c>
      <c r="P30" s="40">
        <v>30</v>
      </c>
      <c r="Q30" s="26">
        <v>40689</v>
      </c>
      <c r="R30" s="26"/>
      <c r="S30" s="26">
        <v>40791</v>
      </c>
      <c r="T30" s="26">
        <v>40814</v>
      </c>
    </row>
    <row r="31" spans="1:20" s="43" customFormat="1" ht="56.25" x14ac:dyDescent="0.25">
      <c r="A31" s="41" t="s">
        <v>18</v>
      </c>
      <c r="B31" s="23">
        <v>22</v>
      </c>
      <c r="C31" s="41" t="s">
        <v>1578</v>
      </c>
      <c r="D31" s="42"/>
      <c r="E31" s="33">
        <v>50500</v>
      </c>
      <c r="F31" s="33">
        <v>32000</v>
      </c>
      <c r="G31" s="27" t="s">
        <v>39</v>
      </c>
      <c r="H31" s="27" t="s">
        <v>39</v>
      </c>
      <c r="I31" s="26" t="s">
        <v>97</v>
      </c>
      <c r="J31" s="28">
        <v>40648</v>
      </c>
      <c r="K31" s="29" t="s">
        <v>98</v>
      </c>
      <c r="L31" s="39">
        <v>0.01</v>
      </c>
      <c r="M31" s="31">
        <v>31700.9</v>
      </c>
      <c r="N31" s="32"/>
      <c r="O31" s="26">
        <v>40686</v>
      </c>
      <c r="P31" s="40">
        <v>30</v>
      </c>
      <c r="Q31" s="26">
        <v>40729</v>
      </c>
      <c r="R31" s="26" t="s">
        <v>99</v>
      </c>
      <c r="S31" s="26">
        <v>41106</v>
      </c>
      <c r="T31" s="26">
        <v>41148</v>
      </c>
    </row>
    <row r="32" spans="1:20" s="43" customFormat="1" ht="56.25" x14ac:dyDescent="0.25">
      <c r="A32" s="41" t="s">
        <v>18</v>
      </c>
      <c r="B32" s="23">
        <v>23</v>
      </c>
      <c r="C32" s="41" t="s">
        <v>1579</v>
      </c>
      <c r="D32" s="42" t="s">
        <v>73</v>
      </c>
      <c r="E32" s="33">
        <v>35510</v>
      </c>
      <c r="F32" s="33">
        <v>31510</v>
      </c>
      <c r="G32" s="26" t="s">
        <v>100</v>
      </c>
      <c r="H32" s="27" t="s">
        <v>39</v>
      </c>
      <c r="I32" s="27" t="s">
        <v>39</v>
      </c>
      <c r="J32" s="28">
        <v>40668</v>
      </c>
      <c r="K32" s="29" t="s">
        <v>20</v>
      </c>
      <c r="L32" s="39">
        <v>0.4</v>
      </c>
      <c r="M32" s="31">
        <v>19529.599999999999</v>
      </c>
      <c r="N32" s="32"/>
      <c r="O32" s="26">
        <v>40725</v>
      </c>
      <c r="P32" s="40"/>
      <c r="Q32" s="26">
        <v>40750</v>
      </c>
      <c r="R32" s="26">
        <v>40752</v>
      </c>
      <c r="S32" s="26">
        <v>40826</v>
      </c>
      <c r="T32" s="26">
        <v>40920</v>
      </c>
    </row>
    <row r="33" spans="1:20" s="43" customFormat="1" ht="45" x14ac:dyDescent="0.25">
      <c r="A33" s="41" t="s">
        <v>18</v>
      </c>
      <c r="B33" s="138" t="s">
        <v>101</v>
      </c>
      <c r="C33" s="41" t="s">
        <v>1580</v>
      </c>
      <c r="D33" s="42"/>
      <c r="E33" s="33"/>
      <c r="F33" s="33">
        <v>18724.599999999999</v>
      </c>
      <c r="G33" s="26"/>
      <c r="H33" s="27"/>
      <c r="I33" s="27"/>
      <c r="J33" s="28"/>
      <c r="K33" s="29" t="s">
        <v>20</v>
      </c>
      <c r="L33" s="39"/>
      <c r="M33" s="31">
        <v>18724.599999999999</v>
      </c>
      <c r="N33" s="32"/>
      <c r="O33" s="26" t="s">
        <v>102</v>
      </c>
      <c r="P33" s="40"/>
      <c r="Q33" s="26"/>
      <c r="R33" s="26"/>
      <c r="S33" s="22"/>
      <c r="T33" s="26"/>
    </row>
    <row r="34" spans="1:20" s="43" customFormat="1" ht="67.5" x14ac:dyDescent="0.25">
      <c r="A34" s="41" t="s">
        <v>18</v>
      </c>
      <c r="B34" s="23">
        <v>24</v>
      </c>
      <c r="C34" s="41" t="s">
        <v>1581</v>
      </c>
      <c r="D34" s="42"/>
      <c r="E34" s="33"/>
      <c r="F34" s="33">
        <v>49780</v>
      </c>
      <c r="G34" s="26" t="s">
        <v>104</v>
      </c>
      <c r="H34" s="27" t="s">
        <v>39</v>
      </c>
      <c r="I34" s="27" t="s">
        <v>39</v>
      </c>
      <c r="J34" s="28">
        <v>40675</v>
      </c>
      <c r="K34" s="29" t="s">
        <v>105</v>
      </c>
      <c r="L34" s="39">
        <v>5.5E-2</v>
      </c>
      <c r="M34" s="31">
        <v>47129</v>
      </c>
      <c r="N34" s="32"/>
      <c r="O34" s="26">
        <v>40883</v>
      </c>
      <c r="P34" s="40">
        <v>60</v>
      </c>
      <c r="Q34" s="26">
        <v>40917</v>
      </c>
      <c r="R34" s="26" t="s">
        <v>106</v>
      </c>
      <c r="S34" s="26">
        <v>41001</v>
      </c>
      <c r="T34" s="26">
        <v>41004</v>
      </c>
    </row>
    <row r="35" spans="1:20" s="43" customFormat="1" ht="45" x14ac:dyDescent="0.25">
      <c r="A35" s="41" t="s">
        <v>29</v>
      </c>
      <c r="B35" s="23">
        <v>25</v>
      </c>
      <c r="C35" s="41" t="s">
        <v>107</v>
      </c>
      <c r="D35" s="42"/>
      <c r="E35" s="33">
        <v>106830.92</v>
      </c>
      <c r="F35" s="33">
        <v>95028.63</v>
      </c>
      <c r="G35" s="27" t="s">
        <v>39</v>
      </c>
      <c r="H35" s="27" t="s">
        <v>39</v>
      </c>
      <c r="I35" s="26" t="s">
        <v>108</v>
      </c>
      <c r="J35" s="27" t="s">
        <v>39</v>
      </c>
      <c r="K35" s="29" t="s">
        <v>109</v>
      </c>
      <c r="L35" s="39">
        <v>0.01</v>
      </c>
      <c r="M35" s="31">
        <v>94104.639999999999</v>
      </c>
      <c r="N35" s="32"/>
      <c r="O35" s="26">
        <v>40738</v>
      </c>
      <c r="P35" s="40">
        <v>150</v>
      </c>
      <c r="Q35" s="26"/>
      <c r="R35" s="26"/>
      <c r="S35" s="26">
        <v>40975</v>
      </c>
      <c r="T35" s="26">
        <v>40994</v>
      </c>
    </row>
    <row r="36" spans="1:20" s="43" customFormat="1" ht="78.75" x14ac:dyDescent="0.25">
      <c r="A36" s="41" t="s">
        <v>29</v>
      </c>
      <c r="B36" s="23">
        <v>26</v>
      </c>
      <c r="C36" s="41" t="s">
        <v>1556</v>
      </c>
      <c r="D36" s="42"/>
      <c r="E36" s="6">
        <v>177544.2</v>
      </c>
      <c r="F36" s="33">
        <f>149774.6+7344.16</f>
        <v>157118.76</v>
      </c>
      <c r="G36" s="27" t="s">
        <v>39</v>
      </c>
      <c r="H36" s="27" t="s">
        <v>39</v>
      </c>
      <c r="I36" s="26" t="s">
        <v>110</v>
      </c>
      <c r="J36" s="27" t="s">
        <v>39</v>
      </c>
      <c r="K36" s="29" t="s">
        <v>109</v>
      </c>
      <c r="L36" s="39">
        <v>0.03</v>
      </c>
      <c r="M36" s="31">
        <v>152625.51999999999</v>
      </c>
      <c r="N36" s="32"/>
      <c r="O36" s="26">
        <v>40784</v>
      </c>
      <c r="P36" s="40"/>
      <c r="Q36" s="26">
        <v>40784</v>
      </c>
      <c r="R36" s="26"/>
      <c r="S36" s="26">
        <v>40874</v>
      </c>
      <c r="T36" s="26">
        <v>40602</v>
      </c>
    </row>
    <row r="37" spans="1:20" s="43" customFormat="1" ht="45" x14ac:dyDescent="0.25">
      <c r="A37" s="41" t="s">
        <v>18</v>
      </c>
      <c r="B37" s="23">
        <v>27</v>
      </c>
      <c r="C37" s="41" t="s">
        <v>1555</v>
      </c>
      <c r="D37" s="42" t="s">
        <v>111</v>
      </c>
      <c r="E37" s="6">
        <v>1208815.97</v>
      </c>
      <c r="F37" s="33">
        <f>155288.01+7773.8</f>
        <v>163061.81</v>
      </c>
      <c r="G37" s="26" t="s">
        <v>112</v>
      </c>
      <c r="H37" s="27" t="s">
        <v>39</v>
      </c>
      <c r="I37" s="27" t="s">
        <v>39</v>
      </c>
      <c r="J37" s="28">
        <v>40791</v>
      </c>
      <c r="K37" s="38" t="s">
        <v>113</v>
      </c>
      <c r="L37" s="39">
        <v>0.105</v>
      </c>
      <c r="M37" s="31">
        <v>146756.57</v>
      </c>
      <c r="N37" s="32"/>
      <c r="O37" s="26">
        <v>40814</v>
      </c>
      <c r="P37" s="40">
        <v>94</v>
      </c>
      <c r="Q37" s="26">
        <v>40833</v>
      </c>
      <c r="R37" s="26">
        <v>40833</v>
      </c>
      <c r="S37" s="26">
        <v>41074</v>
      </c>
      <c r="T37" s="26">
        <v>41088</v>
      </c>
    </row>
    <row r="38" spans="1:20" s="43" customFormat="1" ht="56.25" x14ac:dyDescent="0.25">
      <c r="A38" s="41" t="s">
        <v>18</v>
      </c>
      <c r="B38" s="139" t="s">
        <v>114</v>
      </c>
      <c r="C38" s="41" t="s">
        <v>1582</v>
      </c>
      <c r="D38" s="42"/>
      <c r="E38" s="33"/>
      <c r="F38" s="33">
        <v>127034.5</v>
      </c>
      <c r="G38" s="27" t="s">
        <v>39</v>
      </c>
      <c r="H38" s="27" t="s">
        <v>39</v>
      </c>
      <c r="I38" s="26" t="s">
        <v>115</v>
      </c>
      <c r="J38" s="28">
        <v>40794</v>
      </c>
      <c r="K38" s="38" t="s">
        <v>116</v>
      </c>
      <c r="L38" s="39">
        <v>0.22700000000000001</v>
      </c>
      <c r="M38" s="31">
        <v>98904.39</v>
      </c>
      <c r="N38" s="32"/>
      <c r="O38" s="26">
        <v>40822</v>
      </c>
      <c r="P38" s="40">
        <v>45</v>
      </c>
      <c r="Q38" s="26">
        <v>40865</v>
      </c>
      <c r="R38" s="26"/>
      <c r="S38" s="26" t="s">
        <v>117</v>
      </c>
      <c r="T38" s="26"/>
    </row>
    <row r="39" spans="1:20" s="43" customFormat="1" ht="45" x14ac:dyDescent="0.25">
      <c r="A39" s="41" t="s">
        <v>18</v>
      </c>
      <c r="B39" s="139" t="s">
        <v>118</v>
      </c>
      <c r="C39" s="41" t="s">
        <v>1583</v>
      </c>
      <c r="D39" s="42"/>
      <c r="E39" s="33"/>
      <c r="F39" s="33">
        <f>151387.56+132.1</f>
        <v>151519.66</v>
      </c>
      <c r="G39" s="27" t="s">
        <v>39</v>
      </c>
      <c r="H39" s="27" t="s">
        <v>39</v>
      </c>
      <c r="I39" s="26" t="s">
        <v>119</v>
      </c>
      <c r="J39" s="28">
        <v>40794</v>
      </c>
      <c r="K39" s="38" t="s">
        <v>120</v>
      </c>
      <c r="L39" s="39">
        <v>3.5000000000000003E-2</v>
      </c>
      <c r="M39" s="31">
        <v>146221.1</v>
      </c>
      <c r="N39" s="32"/>
      <c r="O39" s="26">
        <v>40822</v>
      </c>
      <c r="P39" s="40">
        <v>30</v>
      </c>
      <c r="Q39" s="5"/>
      <c r="R39" s="26"/>
      <c r="S39" s="26" t="s">
        <v>117</v>
      </c>
      <c r="T39" s="26"/>
    </row>
    <row r="40" spans="1:20" s="43" customFormat="1" ht="56.25" x14ac:dyDescent="0.25">
      <c r="A40" s="41" t="s">
        <v>18</v>
      </c>
      <c r="B40" s="139" t="s">
        <v>121</v>
      </c>
      <c r="C40" s="41" t="s">
        <v>1584</v>
      </c>
      <c r="D40" s="42"/>
      <c r="E40" s="33"/>
      <c r="F40" s="33">
        <v>40000</v>
      </c>
      <c r="G40" s="27" t="s">
        <v>39</v>
      </c>
      <c r="H40" s="27" t="s">
        <v>39</v>
      </c>
      <c r="I40" s="26" t="s">
        <v>122</v>
      </c>
      <c r="J40" s="28">
        <v>40791</v>
      </c>
      <c r="K40" s="38" t="s">
        <v>123</v>
      </c>
      <c r="L40" s="39"/>
      <c r="M40" s="31">
        <v>38850</v>
      </c>
      <c r="N40" s="32"/>
      <c r="O40" s="26" t="s">
        <v>124</v>
      </c>
      <c r="P40" s="40"/>
      <c r="Q40" s="26"/>
      <c r="R40" s="26"/>
      <c r="S40" s="26" t="s">
        <v>117</v>
      </c>
      <c r="T40" s="26"/>
    </row>
    <row r="41" spans="1:20" s="43" customFormat="1" ht="67.5" x14ac:dyDescent="0.25">
      <c r="A41" s="41" t="s">
        <v>18</v>
      </c>
      <c r="B41" s="139" t="s">
        <v>125</v>
      </c>
      <c r="C41" s="41" t="s">
        <v>1585</v>
      </c>
      <c r="D41" s="42"/>
      <c r="E41" s="33"/>
      <c r="F41" s="33">
        <v>15000</v>
      </c>
      <c r="G41" s="27" t="s">
        <v>39</v>
      </c>
      <c r="H41" s="27" t="s">
        <v>39</v>
      </c>
      <c r="I41" s="26" t="s">
        <v>126</v>
      </c>
      <c r="J41" s="28">
        <v>40791</v>
      </c>
      <c r="K41" s="38" t="s">
        <v>127</v>
      </c>
      <c r="L41" s="39"/>
      <c r="M41" s="31">
        <v>17770</v>
      </c>
      <c r="N41" s="32"/>
      <c r="O41" s="26" t="s">
        <v>124</v>
      </c>
      <c r="P41" s="40"/>
      <c r="Q41" s="26"/>
      <c r="R41" s="26"/>
      <c r="S41" s="26" t="s">
        <v>117</v>
      </c>
      <c r="T41" s="26"/>
    </row>
    <row r="42" spans="1:20" s="43" customFormat="1" ht="67.5" x14ac:dyDescent="0.25">
      <c r="A42" s="41" t="s">
        <v>18</v>
      </c>
      <c r="B42" s="139" t="s">
        <v>128</v>
      </c>
      <c r="C42" s="41" t="s">
        <v>1586</v>
      </c>
      <c r="D42" s="42"/>
      <c r="E42" s="33"/>
      <c r="F42" s="33">
        <v>57000</v>
      </c>
      <c r="G42" s="27" t="s">
        <v>39</v>
      </c>
      <c r="H42" s="27" t="s">
        <v>39</v>
      </c>
      <c r="I42" s="26" t="s">
        <v>129</v>
      </c>
      <c r="J42" s="28">
        <v>40791</v>
      </c>
      <c r="K42" s="38" t="s">
        <v>130</v>
      </c>
      <c r="L42" s="39"/>
      <c r="M42" s="31">
        <v>33500</v>
      </c>
      <c r="N42" s="32"/>
      <c r="O42" s="26" t="s">
        <v>124</v>
      </c>
      <c r="P42" s="40"/>
      <c r="Q42" s="26"/>
      <c r="R42" s="26"/>
      <c r="S42" s="26" t="s">
        <v>117</v>
      </c>
      <c r="T42" s="26"/>
    </row>
    <row r="43" spans="1:20" s="43" customFormat="1" ht="56.25" x14ac:dyDescent="0.25">
      <c r="A43" s="41" t="s">
        <v>18</v>
      </c>
      <c r="B43" s="139" t="s">
        <v>131</v>
      </c>
      <c r="C43" s="41" t="s">
        <v>1587</v>
      </c>
      <c r="D43" s="42"/>
      <c r="E43" s="33"/>
      <c r="F43" s="33">
        <v>9000</v>
      </c>
      <c r="G43" s="27" t="s">
        <v>39</v>
      </c>
      <c r="H43" s="27" t="s">
        <v>39</v>
      </c>
      <c r="I43" s="26" t="s">
        <v>126</v>
      </c>
      <c r="J43" s="28">
        <v>40791</v>
      </c>
      <c r="K43" s="38" t="s">
        <v>132</v>
      </c>
      <c r="L43" s="39"/>
      <c r="M43" s="31">
        <v>9603.2999999999993</v>
      </c>
      <c r="N43" s="32"/>
      <c r="O43" s="26" t="s">
        <v>124</v>
      </c>
      <c r="P43" s="40"/>
      <c r="Q43" s="26"/>
      <c r="R43" s="26"/>
      <c r="S43" s="26" t="s">
        <v>117</v>
      </c>
      <c r="T43" s="26"/>
    </row>
    <row r="44" spans="1:20" s="43" customFormat="1" ht="67.5" x14ac:dyDescent="0.25">
      <c r="A44" s="41" t="s">
        <v>18</v>
      </c>
      <c r="B44" s="139" t="s">
        <v>133</v>
      </c>
      <c r="C44" s="41" t="s">
        <v>1588</v>
      </c>
      <c r="D44" s="42"/>
      <c r="E44" s="33"/>
      <c r="F44" s="33">
        <v>21000</v>
      </c>
      <c r="G44" s="27" t="s">
        <v>39</v>
      </c>
      <c r="H44" s="27" t="s">
        <v>39</v>
      </c>
      <c r="I44" s="26" t="s">
        <v>134</v>
      </c>
      <c r="J44" s="28">
        <v>40791</v>
      </c>
      <c r="K44" s="38" t="s">
        <v>116</v>
      </c>
      <c r="L44" s="39"/>
      <c r="M44" s="31">
        <v>15900</v>
      </c>
      <c r="N44" s="32"/>
      <c r="O44" s="26" t="s">
        <v>124</v>
      </c>
      <c r="P44" s="40"/>
      <c r="Q44" s="26"/>
      <c r="R44" s="26"/>
      <c r="S44" s="26" t="s">
        <v>117</v>
      </c>
      <c r="T44" s="26"/>
    </row>
    <row r="45" spans="1:20" s="43" customFormat="1" ht="67.5" x14ac:dyDescent="0.25">
      <c r="A45" s="41" t="s">
        <v>18</v>
      </c>
      <c r="B45" s="139" t="s">
        <v>135</v>
      </c>
      <c r="C45" s="41" t="s">
        <v>1589</v>
      </c>
      <c r="D45" s="42"/>
      <c r="E45" s="33"/>
      <c r="F45" s="33">
        <v>87000</v>
      </c>
      <c r="G45" s="27" t="s">
        <v>39</v>
      </c>
      <c r="H45" s="27" t="s">
        <v>39</v>
      </c>
      <c r="I45" s="26" t="s">
        <v>134</v>
      </c>
      <c r="J45" s="28">
        <v>40791</v>
      </c>
      <c r="K45" s="38" t="s">
        <v>136</v>
      </c>
      <c r="L45" s="39"/>
      <c r="M45" s="31">
        <v>59135</v>
      </c>
      <c r="N45" s="32"/>
      <c r="O45" s="26" t="s">
        <v>124</v>
      </c>
      <c r="P45" s="40"/>
      <c r="Q45" s="26"/>
      <c r="R45" s="26"/>
      <c r="S45" s="26" t="s">
        <v>117</v>
      </c>
      <c r="T45" s="26"/>
    </row>
    <row r="46" spans="1:20" s="43" customFormat="1" ht="45" x14ac:dyDescent="0.25">
      <c r="A46" s="41" t="s">
        <v>18</v>
      </c>
      <c r="B46" s="139" t="s">
        <v>137</v>
      </c>
      <c r="C46" s="41" t="s">
        <v>1590</v>
      </c>
      <c r="D46" s="42"/>
      <c r="E46" s="33"/>
      <c r="F46" s="33">
        <v>24000</v>
      </c>
      <c r="G46" s="27" t="s">
        <v>39</v>
      </c>
      <c r="H46" s="27" t="s">
        <v>39</v>
      </c>
      <c r="I46" s="26" t="s">
        <v>138</v>
      </c>
      <c r="J46" s="28">
        <v>40791</v>
      </c>
      <c r="K46" s="38" t="s">
        <v>139</v>
      </c>
      <c r="L46" s="39"/>
      <c r="M46" s="31">
        <v>22470</v>
      </c>
      <c r="N46" s="32"/>
      <c r="O46" s="26" t="s">
        <v>124</v>
      </c>
      <c r="P46" s="40"/>
      <c r="Q46" s="26"/>
      <c r="R46" s="26"/>
      <c r="S46" s="26" t="s">
        <v>117</v>
      </c>
      <c r="T46" s="26"/>
    </row>
    <row r="47" spans="1:20" s="43" customFormat="1" ht="56.25" x14ac:dyDescent="0.25">
      <c r="A47" s="41" t="s">
        <v>18</v>
      </c>
      <c r="B47" s="139" t="s">
        <v>140</v>
      </c>
      <c r="C47" s="41" t="s">
        <v>1591</v>
      </c>
      <c r="D47" s="42"/>
      <c r="E47" s="33"/>
      <c r="F47" s="33">
        <v>37500</v>
      </c>
      <c r="G47" s="27" t="s">
        <v>39</v>
      </c>
      <c r="H47" s="27" t="s">
        <v>39</v>
      </c>
      <c r="I47" s="26" t="s">
        <v>134</v>
      </c>
      <c r="J47" s="28">
        <v>40791</v>
      </c>
      <c r="K47" s="38" t="s">
        <v>141</v>
      </c>
      <c r="L47" s="39"/>
      <c r="M47" s="31">
        <v>31467.46</v>
      </c>
      <c r="N47" s="32"/>
      <c r="O47" s="26" t="s">
        <v>124</v>
      </c>
      <c r="P47" s="40"/>
      <c r="Q47" s="26"/>
      <c r="R47" s="26"/>
      <c r="S47" s="26" t="s">
        <v>117</v>
      </c>
      <c r="T47" s="26"/>
    </row>
    <row r="48" spans="1:20" s="43" customFormat="1" ht="56.25" x14ac:dyDescent="0.25">
      <c r="A48" s="41" t="s">
        <v>18</v>
      </c>
      <c r="B48" s="139" t="s">
        <v>142</v>
      </c>
      <c r="C48" s="41" t="s">
        <v>1592</v>
      </c>
      <c r="D48" s="42"/>
      <c r="E48" s="33"/>
      <c r="F48" s="33">
        <v>21000</v>
      </c>
      <c r="G48" s="27" t="s">
        <v>39</v>
      </c>
      <c r="H48" s="27" t="s">
        <v>39</v>
      </c>
      <c r="I48" s="26" t="s">
        <v>143</v>
      </c>
      <c r="J48" s="28">
        <v>40791</v>
      </c>
      <c r="K48" s="38" t="s">
        <v>144</v>
      </c>
      <c r="L48" s="39"/>
      <c r="M48" s="31">
        <v>21700</v>
      </c>
      <c r="N48" s="32"/>
      <c r="O48" s="26" t="s">
        <v>124</v>
      </c>
      <c r="P48" s="40"/>
      <c r="Q48" s="26"/>
      <c r="R48" s="26"/>
      <c r="S48" s="26" t="s">
        <v>117</v>
      </c>
      <c r="T48" s="26"/>
    </row>
    <row r="49" spans="1:20" s="43" customFormat="1" ht="90" x14ac:dyDescent="0.25">
      <c r="A49" s="41" t="s">
        <v>29</v>
      </c>
      <c r="B49" s="23">
        <v>28</v>
      </c>
      <c r="C49" s="41" t="s">
        <v>1554</v>
      </c>
      <c r="D49" s="42"/>
      <c r="E49" s="6">
        <v>52002.44</v>
      </c>
      <c r="F49" s="33">
        <f>36621.6+2908.4</f>
        <v>39530</v>
      </c>
      <c r="G49" s="27" t="s">
        <v>39</v>
      </c>
      <c r="H49" s="27" t="s">
        <v>39</v>
      </c>
      <c r="I49" s="26">
        <v>40759</v>
      </c>
      <c r="J49" s="28">
        <v>40760</v>
      </c>
      <c r="K49" s="38" t="s">
        <v>145</v>
      </c>
      <c r="L49" s="39">
        <v>6.7699999999999996E-2</v>
      </c>
      <c r="M49" s="31">
        <v>37050.720000000001</v>
      </c>
      <c r="N49" s="32"/>
      <c r="O49" s="26">
        <v>40816</v>
      </c>
      <c r="P49" s="40">
        <v>70</v>
      </c>
      <c r="Q49" s="26">
        <v>40878</v>
      </c>
      <c r="R49" s="26"/>
      <c r="S49" s="26">
        <v>41325</v>
      </c>
      <c r="T49" s="26">
        <v>41354</v>
      </c>
    </row>
    <row r="50" spans="1:20" s="43" customFormat="1" ht="45" x14ac:dyDescent="0.25">
      <c r="A50" s="41" t="s">
        <v>29</v>
      </c>
      <c r="B50" s="23">
        <v>29</v>
      </c>
      <c r="C50" s="41" t="s">
        <v>146</v>
      </c>
      <c r="D50" s="42"/>
      <c r="E50" s="6">
        <v>111942.64</v>
      </c>
      <c r="F50" s="33">
        <v>94197.03</v>
      </c>
      <c r="G50" s="27" t="s">
        <v>39</v>
      </c>
      <c r="H50" s="27" t="s">
        <v>39</v>
      </c>
      <c r="I50" s="26" t="s">
        <v>147</v>
      </c>
      <c r="J50" s="28">
        <v>40836</v>
      </c>
      <c r="K50" s="38" t="s">
        <v>148</v>
      </c>
      <c r="L50" s="39">
        <v>3.5000000000000003E-2</v>
      </c>
      <c r="M50" s="31">
        <v>91000.84</v>
      </c>
      <c r="N50" s="32"/>
      <c r="O50" s="26">
        <v>40900</v>
      </c>
      <c r="P50" s="40">
        <v>70</v>
      </c>
      <c r="Q50" s="26" t="s">
        <v>149</v>
      </c>
      <c r="R50" s="26" t="s">
        <v>150</v>
      </c>
      <c r="S50" s="26">
        <v>41095</v>
      </c>
      <c r="T50" s="26">
        <v>41180</v>
      </c>
    </row>
    <row r="51" spans="1:20" s="43" customFormat="1" ht="56.25" x14ac:dyDescent="0.25">
      <c r="A51" s="41" t="s">
        <v>18</v>
      </c>
      <c r="B51" s="23">
        <v>30</v>
      </c>
      <c r="C51" s="41" t="s">
        <v>1553</v>
      </c>
      <c r="D51" s="42"/>
      <c r="E51" s="33">
        <v>233031.2</v>
      </c>
      <c r="F51" s="33">
        <f>175000+4800</f>
        <v>179800</v>
      </c>
      <c r="G51" s="26" t="s">
        <v>151</v>
      </c>
      <c r="H51" s="27" t="s">
        <v>103</v>
      </c>
      <c r="I51" s="26" t="s">
        <v>152</v>
      </c>
      <c r="J51" s="28">
        <v>41110</v>
      </c>
      <c r="K51" s="38" t="s">
        <v>301</v>
      </c>
      <c r="L51" s="39">
        <v>0.21</v>
      </c>
      <c r="M51" s="31">
        <v>143050</v>
      </c>
      <c r="N51" s="32"/>
      <c r="O51" s="26">
        <v>41211</v>
      </c>
      <c r="P51" s="40">
        <v>150</v>
      </c>
      <c r="Q51" s="26">
        <v>41408</v>
      </c>
      <c r="R51" s="26" t="s">
        <v>153</v>
      </c>
      <c r="S51" s="26">
        <v>41555</v>
      </c>
      <c r="T51" s="26">
        <v>41646</v>
      </c>
    </row>
    <row r="52" spans="1:20" s="43" customFormat="1" ht="135" x14ac:dyDescent="0.25">
      <c r="A52" s="41" t="s">
        <v>21</v>
      </c>
      <c r="B52" s="23">
        <v>32</v>
      </c>
      <c r="C52" s="41" t="s">
        <v>154</v>
      </c>
      <c r="D52" s="42"/>
      <c r="E52" s="6">
        <v>175753.8</v>
      </c>
      <c r="F52" s="33">
        <f>112300+4700</f>
        <v>117000</v>
      </c>
      <c r="G52" s="27" t="s">
        <v>39</v>
      </c>
      <c r="H52" s="27" t="s">
        <v>39</v>
      </c>
      <c r="I52" s="26" t="s">
        <v>155</v>
      </c>
      <c r="J52" s="28">
        <v>40840</v>
      </c>
      <c r="K52" s="38" t="s">
        <v>156</v>
      </c>
      <c r="L52" s="39">
        <v>2.5000000000000001E-2</v>
      </c>
      <c r="M52" s="31">
        <v>114192.5</v>
      </c>
      <c r="N52" s="32"/>
      <c r="O52" s="26">
        <v>40883</v>
      </c>
      <c r="P52" s="40">
        <v>90</v>
      </c>
      <c r="Q52" s="26">
        <v>40920</v>
      </c>
      <c r="R52" s="26" t="s">
        <v>157</v>
      </c>
      <c r="S52" s="26">
        <v>41178</v>
      </c>
      <c r="T52" s="26">
        <v>41180</v>
      </c>
    </row>
    <row r="53" spans="1:20" s="43" customFormat="1" ht="56.25" x14ac:dyDescent="0.25">
      <c r="A53" s="41" t="s">
        <v>29</v>
      </c>
      <c r="B53" s="23">
        <v>33</v>
      </c>
      <c r="C53" s="41" t="s">
        <v>158</v>
      </c>
      <c r="D53" s="42"/>
      <c r="E53" s="6">
        <v>92684</v>
      </c>
      <c r="F53" s="33">
        <f>68911.37+720.48</f>
        <v>69631.849999999991</v>
      </c>
      <c r="G53" s="27" t="s">
        <v>39</v>
      </c>
      <c r="H53" s="27" t="s">
        <v>39</v>
      </c>
      <c r="I53" s="26" t="s">
        <v>159</v>
      </c>
      <c r="J53" s="28">
        <v>40843</v>
      </c>
      <c r="K53" s="38" t="s">
        <v>160</v>
      </c>
      <c r="L53" s="39">
        <v>0.18</v>
      </c>
      <c r="M53" s="31">
        <v>57227.8</v>
      </c>
      <c r="N53" s="32"/>
      <c r="O53" s="26">
        <v>40932</v>
      </c>
      <c r="P53" s="40">
        <v>50</v>
      </c>
      <c r="Q53" s="26">
        <v>41004</v>
      </c>
      <c r="R53" s="26" t="s">
        <v>161</v>
      </c>
      <c r="S53" s="26">
        <v>41057</v>
      </c>
      <c r="T53" s="26">
        <v>41145</v>
      </c>
    </row>
    <row r="54" spans="1:20" s="43" customFormat="1" ht="90" x14ac:dyDescent="0.25">
      <c r="A54" s="41" t="s">
        <v>29</v>
      </c>
      <c r="B54" s="23">
        <v>34</v>
      </c>
      <c r="C54" s="41" t="s">
        <v>162</v>
      </c>
      <c r="D54" s="42"/>
      <c r="E54" s="6">
        <v>164085.22</v>
      </c>
      <c r="F54" s="33">
        <f>95482.7+1186.78</f>
        <v>96669.48</v>
      </c>
      <c r="G54" s="27" t="s">
        <v>39</v>
      </c>
      <c r="H54" s="27" t="s">
        <v>39</v>
      </c>
      <c r="I54" s="26" t="s">
        <v>163</v>
      </c>
      <c r="J54" s="28">
        <v>40857</v>
      </c>
      <c r="K54" s="38" t="s">
        <v>164</v>
      </c>
      <c r="L54" s="39">
        <v>4.3799999999999999E-2</v>
      </c>
      <c r="M54" s="31">
        <v>92487.34</v>
      </c>
      <c r="N54" s="32"/>
      <c r="O54" s="26">
        <v>40932</v>
      </c>
      <c r="P54" s="40"/>
      <c r="Q54" s="26">
        <v>41011</v>
      </c>
      <c r="R54" s="26"/>
      <c r="S54" s="26">
        <v>41239</v>
      </c>
      <c r="T54" s="26">
        <v>41292</v>
      </c>
    </row>
    <row r="55" spans="1:20" s="43" customFormat="1" ht="56.25" x14ac:dyDescent="0.25">
      <c r="A55" s="41" t="s">
        <v>21</v>
      </c>
      <c r="B55" s="23">
        <v>36</v>
      </c>
      <c r="C55" s="41" t="s">
        <v>1552</v>
      </c>
      <c r="D55" s="42"/>
      <c r="E55" s="33"/>
      <c r="F55" s="33">
        <f>20000+1000</f>
        <v>21000</v>
      </c>
      <c r="G55" s="27" t="s">
        <v>39</v>
      </c>
      <c r="H55" s="27" t="s">
        <v>39</v>
      </c>
      <c r="I55" s="26" t="s">
        <v>165</v>
      </c>
      <c r="J55" s="28">
        <v>40898</v>
      </c>
      <c r="K55" s="38" t="s">
        <v>166</v>
      </c>
      <c r="L55" s="39">
        <v>0.12</v>
      </c>
      <c r="M55" s="31">
        <v>18600</v>
      </c>
      <c r="N55" s="32"/>
      <c r="O55" s="26">
        <v>40968</v>
      </c>
      <c r="P55" s="40">
        <v>30</v>
      </c>
      <c r="Q55" s="26">
        <v>41011</v>
      </c>
      <c r="R55" s="27" t="s">
        <v>39</v>
      </c>
      <c r="S55" s="26">
        <v>41026</v>
      </c>
      <c r="T55" s="26">
        <v>41054</v>
      </c>
    </row>
    <row r="56" spans="1:20" s="43" customFormat="1" ht="56.25" x14ac:dyDescent="0.25">
      <c r="A56" s="41" t="s">
        <v>21</v>
      </c>
      <c r="B56" s="44" t="s">
        <v>167</v>
      </c>
      <c r="C56" s="41" t="s">
        <v>1551</v>
      </c>
      <c r="D56" s="42"/>
      <c r="E56" s="33"/>
      <c r="F56" s="33">
        <v>42000</v>
      </c>
      <c r="G56" s="27" t="s">
        <v>39</v>
      </c>
      <c r="H56" s="27" t="s">
        <v>39</v>
      </c>
      <c r="I56" s="26" t="s">
        <v>168</v>
      </c>
      <c r="J56" s="27">
        <v>41078</v>
      </c>
      <c r="K56" s="20" t="s">
        <v>40</v>
      </c>
      <c r="L56" s="39"/>
      <c r="M56" s="31">
        <v>58000</v>
      </c>
      <c r="N56" s="32"/>
      <c r="O56" s="26">
        <v>41114</v>
      </c>
      <c r="P56" s="40"/>
      <c r="Q56" s="26"/>
      <c r="R56" s="26"/>
      <c r="S56" s="26"/>
      <c r="T56" s="26"/>
    </row>
    <row r="57" spans="1:20" s="43" customFormat="1" ht="45" x14ac:dyDescent="0.25">
      <c r="A57" s="41" t="s">
        <v>21</v>
      </c>
      <c r="B57" s="44" t="s">
        <v>169</v>
      </c>
      <c r="C57" s="41" t="s">
        <v>170</v>
      </c>
      <c r="D57" s="42"/>
      <c r="E57" s="33"/>
      <c r="F57" s="33">
        <v>51000</v>
      </c>
      <c r="G57" s="26"/>
      <c r="H57" s="26"/>
      <c r="I57" s="26" t="s">
        <v>171</v>
      </c>
      <c r="J57" s="26"/>
      <c r="K57" s="28" t="s">
        <v>172</v>
      </c>
      <c r="L57" s="54" t="s">
        <v>19</v>
      </c>
      <c r="M57" s="31">
        <v>49850</v>
      </c>
      <c r="N57" s="32"/>
      <c r="O57" s="26">
        <v>41068</v>
      </c>
      <c r="P57" s="40"/>
      <c r="Q57" s="26"/>
      <c r="R57" s="26"/>
      <c r="S57" s="26"/>
      <c r="T57" s="26"/>
    </row>
    <row r="58" spans="1:20" s="43" customFormat="1" ht="33.75" x14ac:dyDescent="0.25">
      <c r="A58" s="41" t="s">
        <v>21</v>
      </c>
      <c r="B58" s="44" t="s">
        <v>173</v>
      </c>
      <c r="C58" s="41" t="s">
        <v>174</v>
      </c>
      <c r="D58" s="42"/>
      <c r="E58" s="33"/>
      <c r="F58" s="33">
        <v>11100</v>
      </c>
      <c r="G58" s="26"/>
      <c r="H58" s="26"/>
      <c r="I58" s="26" t="s">
        <v>175</v>
      </c>
      <c r="J58" s="27">
        <v>41079</v>
      </c>
      <c r="K58" s="20" t="s">
        <v>176</v>
      </c>
      <c r="L58" s="39"/>
      <c r="M58" s="31">
        <v>12345</v>
      </c>
      <c r="N58" s="32"/>
      <c r="O58" s="26">
        <v>41114</v>
      </c>
      <c r="P58" s="40"/>
      <c r="Q58" s="26"/>
      <c r="R58" s="26"/>
      <c r="S58" s="26"/>
      <c r="T58" s="26"/>
    </row>
    <row r="59" spans="1:20" s="43" customFormat="1" ht="33.75" x14ac:dyDescent="0.25">
      <c r="A59" s="41" t="s">
        <v>21</v>
      </c>
      <c r="B59" s="44" t="s">
        <v>177</v>
      </c>
      <c r="C59" s="41" t="s">
        <v>178</v>
      </c>
      <c r="D59" s="42"/>
      <c r="E59" s="33"/>
      <c r="F59" s="33">
        <v>9800</v>
      </c>
      <c r="G59" s="26"/>
      <c r="H59" s="26"/>
      <c r="I59" s="26" t="s">
        <v>179</v>
      </c>
      <c r="J59" s="27">
        <v>41079</v>
      </c>
      <c r="K59" s="20" t="s">
        <v>180</v>
      </c>
      <c r="L59" s="39"/>
      <c r="M59" s="31">
        <v>6400</v>
      </c>
      <c r="N59" s="32"/>
      <c r="O59" s="26">
        <v>41114</v>
      </c>
      <c r="P59" s="40"/>
      <c r="Q59" s="26"/>
      <c r="R59" s="26"/>
      <c r="S59" s="26"/>
      <c r="T59" s="26"/>
    </row>
    <row r="60" spans="1:20" s="43" customFormat="1" ht="33.75" x14ac:dyDescent="0.25">
      <c r="A60" s="41" t="s">
        <v>21</v>
      </c>
      <c r="B60" s="44" t="s">
        <v>181</v>
      </c>
      <c r="C60" s="41" t="s">
        <v>182</v>
      </c>
      <c r="D60" s="42"/>
      <c r="E60" s="33"/>
      <c r="F60" s="33">
        <v>5430</v>
      </c>
      <c r="G60" s="26"/>
      <c r="H60" s="26"/>
      <c r="I60" s="26" t="s">
        <v>175</v>
      </c>
      <c r="J60" s="27">
        <v>41079</v>
      </c>
      <c r="K60" s="20" t="s">
        <v>183</v>
      </c>
      <c r="L60" s="39"/>
      <c r="M60" s="31">
        <v>2316.6</v>
      </c>
      <c r="N60" s="32"/>
      <c r="O60" s="26">
        <v>41114</v>
      </c>
      <c r="P60" s="40"/>
      <c r="Q60" s="26"/>
      <c r="R60" s="26"/>
      <c r="S60" s="26"/>
      <c r="T60" s="26"/>
    </row>
    <row r="61" spans="1:20" s="43" customFormat="1" ht="56.25" x14ac:dyDescent="0.25">
      <c r="A61" s="41" t="s">
        <v>29</v>
      </c>
      <c r="B61" s="23">
        <v>38</v>
      </c>
      <c r="C61" s="41" t="s">
        <v>184</v>
      </c>
      <c r="D61" s="42"/>
      <c r="E61" s="33">
        <v>297130.67</v>
      </c>
      <c r="F61" s="33">
        <f>261309.86+4181.5</f>
        <v>265491.36</v>
      </c>
      <c r="G61" s="27" t="s">
        <v>39</v>
      </c>
      <c r="H61" s="27" t="s">
        <v>39</v>
      </c>
      <c r="I61" s="26" t="s">
        <v>185</v>
      </c>
      <c r="J61" s="27" t="s">
        <v>39</v>
      </c>
      <c r="K61" s="34" t="s">
        <v>109</v>
      </c>
      <c r="L61" s="39">
        <v>2.5000000000000001E-2</v>
      </c>
      <c r="M61" s="31">
        <v>258958.62</v>
      </c>
      <c r="N61" s="32"/>
      <c r="O61" s="26">
        <v>41037</v>
      </c>
      <c r="P61" s="40">
        <v>200</v>
      </c>
      <c r="Q61" s="26">
        <v>41064</v>
      </c>
      <c r="R61" s="26" t="s">
        <v>186</v>
      </c>
      <c r="S61" s="26">
        <v>41548</v>
      </c>
      <c r="T61" s="26">
        <v>41578</v>
      </c>
    </row>
    <row r="62" spans="1:20" s="43" customFormat="1" ht="101.25" x14ac:dyDescent="0.25">
      <c r="A62" s="41" t="s">
        <v>29</v>
      </c>
      <c r="B62" s="23">
        <v>39</v>
      </c>
      <c r="C62" s="41" t="s">
        <v>187</v>
      </c>
      <c r="D62" s="42"/>
      <c r="E62" s="6">
        <v>265668.40999999997</v>
      </c>
      <c r="F62" s="33">
        <f>220627.49+2984.28</f>
        <v>223611.77</v>
      </c>
      <c r="G62" s="27" t="s">
        <v>39</v>
      </c>
      <c r="H62" s="27" t="s">
        <v>39</v>
      </c>
      <c r="I62" s="26" t="s">
        <v>185</v>
      </c>
      <c r="J62" s="27" t="s">
        <v>39</v>
      </c>
      <c r="K62" s="34" t="s">
        <v>109</v>
      </c>
      <c r="L62" s="39">
        <v>2.5000000000000001E-2</v>
      </c>
      <c r="M62" s="31">
        <v>218096.09</v>
      </c>
      <c r="N62" s="32"/>
      <c r="O62" s="26">
        <v>41037</v>
      </c>
      <c r="P62" s="40">
        <v>200</v>
      </c>
      <c r="Q62" s="26">
        <v>41085</v>
      </c>
      <c r="R62" s="26" t="s">
        <v>188</v>
      </c>
      <c r="S62" s="26">
        <v>41747</v>
      </c>
      <c r="T62" s="26">
        <v>41801</v>
      </c>
    </row>
    <row r="63" spans="1:20" s="43" customFormat="1" ht="11.25" x14ac:dyDescent="0.25">
      <c r="A63" s="41" t="s">
        <v>29</v>
      </c>
      <c r="B63" s="140" t="s">
        <v>189</v>
      </c>
      <c r="C63" s="41" t="s">
        <v>190</v>
      </c>
      <c r="D63" s="42"/>
      <c r="E63" s="33"/>
      <c r="F63" s="33"/>
      <c r="G63" s="26"/>
      <c r="H63" s="26"/>
      <c r="I63" s="26"/>
      <c r="J63" s="28"/>
      <c r="K63" s="34"/>
      <c r="L63" s="1"/>
      <c r="M63" s="31">
        <f>246039.33-218096.09</f>
        <v>27943.239999999991</v>
      </c>
      <c r="N63" s="32"/>
      <c r="O63" s="26"/>
      <c r="P63" s="79"/>
      <c r="Q63" s="26"/>
      <c r="R63" s="26"/>
      <c r="S63" s="26"/>
      <c r="T63" s="26"/>
    </row>
    <row r="64" spans="1:20" s="43" customFormat="1" ht="11.25" x14ac:dyDescent="0.25">
      <c r="A64" s="41" t="s">
        <v>29</v>
      </c>
      <c r="B64" s="140" t="s">
        <v>191</v>
      </c>
      <c r="C64" s="41" t="s">
        <v>190</v>
      </c>
      <c r="D64" s="42"/>
      <c r="E64" s="33"/>
      <c r="F64" s="33"/>
      <c r="G64" s="26"/>
      <c r="H64" s="26"/>
      <c r="I64" s="26"/>
      <c r="J64" s="28"/>
      <c r="K64" s="34"/>
      <c r="L64" s="1"/>
      <c r="M64" s="31">
        <f>307138.14-246039.33</f>
        <v>61098.810000000027</v>
      </c>
      <c r="N64" s="32"/>
      <c r="O64" s="26"/>
      <c r="P64" s="79"/>
      <c r="Q64" s="26"/>
      <c r="R64" s="26"/>
      <c r="S64" s="26"/>
      <c r="T64" s="26"/>
    </row>
    <row r="65" spans="1:20" s="43" customFormat="1" ht="56.25" x14ac:dyDescent="0.25">
      <c r="A65" s="41" t="s">
        <v>18</v>
      </c>
      <c r="B65" s="23">
        <v>41</v>
      </c>
      <c r="C65" s="41" t="s">
        <v>1593</v>
      </c>
      <c r="D65" s="42"/>
      <c r="E65" s="33">
        <v>860000</v>
      </c>
      <c r="F65" s="33">
        <f>666801.6+40500</f>
        <v>707301.6</v>
      </c>
      <c r="G65" s="27" t="s">
        <v>39</v>
      </c>
      <c r="H65" s="27" t="s">
        <v>39</v>
      </c>
      <c r="I65" s="26" t="s">
        <v>192</v>
      </c>
      <c r="J65" s="26">
        <v>41108</v>
      </c>
      <c r="K65" s="20" t="s">
        <v>1594</v>
      </c>
      <c r="L65" s="39">
        <v>7.0699999999999999E-2</v>
      </c>
      <c r="M65" s="31">
        <v>660158.73</v>
      </c>
      <c r="N65" s="32"/>
      <c r="O65" s="26">
        <v>41191</v>
      </c>
      <c r="P65" s="19">
        <v>390</v>
      </c>
      <c r="Q65" s="26">
        <v>41246</v>
      </c>
      <c r="R65" s="26">
        <v>41246</v>
      </c>
      <c r="S65" s="26">
        <v>41796</v>
      </c>
      <c r="T65" s="26">
        <v>41823</v>
      </c>
    </row>
    <row r="66" spans="1:20" s="43" customFormat="1" ht="45" x14ac:dyDescent="0.25">
      <c r="A66" s="41" t="s">
        <v>18</v>
      </c>
      <c r="B66" s="45">
        <v>42</v>
      </c>
      <c r="C66" s="86" t="s">
        <v>1595</v>
      </c>
      <c r="D66" s="141"/>
      <c r="E66" s="46">
        <f>660000-60298.02</f>
        <v>599701.98</v>
      </c>
      <c r="F66" s="33">
        <f>466084.71+12895.47</f>
        <v>478980.18</v>
      </c>
      <c r="G66" s="27" t="s">
        <v>39</v>
      </c>
      <c r="H66" s="27" t="s">
        <v>39</v>
      </c>
      <c r="I66" s="26" t="s">
        <v>192</v>
      </c>
      <c r="J66" s="26">
        <v>41108</v>
      </c>
      <c r="K66" s="38" t="s">
        <v>1596</v>
      </c>
      <c r="L66" s="39">
        <v>9.06E-2</v>
      </c>
      <c r="M66" s="47">
        <v>436752.91</v>
      </c>
      <c r="N66" s="48"/>
      <c r="O66" s="26">
        <v>41191</v>
      </c>
      <c r="P66" s="49">
        <v>315</v>
      </c>
      <c r="Q66" s="50">
        <v>41283</v>
      </c>
      <c r="R66" s="50"/>
      <c r="S66" s="50" t="s">
        <v>193</v>
      </c>
      <c r="T66" s="50" t="s">
        <v>194</v>
      </c>
    </row>
    <row r="67" spans="1:20" s="43" customFormat="1" ht="60.75" x14ac:dyDescent="0.25">
      <c r="A67" s="41" t="s">
        <v>18</v>
      </c>
      <c r="B67" s="45">
        <v>42</v>
      </c>
      <c r="C67" s="86"/>
      <c r="D67" s="141"/>
      <c r="E67" s="46"/>
      <c r="F67" s="33"/>
      <c r="G67" s="27"/>
      <c r="H67" s="27"/>
      <c r="I67" s="26"/>
      <c r="J67" s="26"/>
      <c r="K67" s="38" t="s">
        <v>1597</v>
      </c>
      <c r="L67" s="39"/>
      <c r="M67" s="47"/>
      <c r="N67" s="48"/>
      <c r="O67" s="142">
        <v>41703</v>
      </c>
      <c r="P67" s="49">
        <v>90</v>
      </c>
      <c r="Q67" s="50">
        <v>41732</v>
      </c>
      <c r="R67" s="50">
        <v>41732</v>
      </c>
      <c r="S67" s="50">
        <v>42088</v>
      </c>
      <c r="T67" s="50">
        <v>42135</v>
      </c>
    </row>
    <row r="68" spans="1:20" s="43" customFormat="1" ht="56.25" x14ac:dyDescent="0.25">
      <c r="A68" s="41" t="s">
        <v>21</v>
      </c>
      <c r="B68" s="23">
        <v>43</v>
      </c>
      <c r="C68" s="41" t="s">
        <v>1550</v>
      </c>
      <c r="D68" s="42"/>
      <c r="E68" s="33"/>
      <c r="F68" s="33">
        <f>226731+6769</f>
        <v>233500</v>
      </c>
      <c r="G68" s="27" t="s">
        <v>39</v>
      </c>
      <c r="H68" s="27" t="s">
        <v>39</v>
      </c>
      <c r="I68" s="26" t="s">
        <v>192</v>
      </c>
      <c r="J68" s="26">
        <v>41108</v>
      </c>
      <c r="K68" s="38" t="s">
        <v>1598</v>
      </c>
      <c r="L68" s="39">
        <v>4.0099999999999997E-2</v>
      </c>
      <c r="M68" s="31">
        <v>224408.09</v>
      </c>
      <c r="N68" s="32"/>
      <c r="O68" s="26">
        <v>41191</v>
      </c>
      <c r="P68" s="40">
        <v>150</v>
      </c>
      <c r="Q68" s="26">
        <v>41204</v>
      </c>
      <c r="R68" s="26">
        <v>41208</v>
      </c>
      <c r="S68" s="26">
        <v>41549</v>
      </c>
      <c r="T68" s="26">
        <v>41802</v>
      </c>
    </row>
    <row r="69" spans="1:20" s="43" customFormat="1" ht="22.5" x14ac:dyDescent="0.25">
      <c r="A69" s="41" t="s">
        <v>21</v>
      </c>
      <c r="B69" s="143" t="s">
        <v>195</v>
      </c>
      <c r="C69" s="41" t="s">
        <v>26</v>
      </c>
      <c r="D69" s="42"/>
      <c r="E69" s="33"/>
      <c r="F69" s="33"/>
      <c r="G69" s="26"/>
      <c r="H69" s="26"/>
      <c r="I69" s="26"/>
      <c r="J69" s="28"/>
      <c r="K69" s="34"/>
      <c r="L69" s="35"/>
      <c r="M69" s="31"/>
      <c r="N69" s="32"/>
      <c r="O69" s="26"/>
      <c r="P69" s="40"/>
      <c r="Q69" s="26"/>
      <c r="R69" s="26"/>
      <c r="S69" s="26"/>
      <c r="T69" s="26"/>
    </row>
    <row r="70" spans="1:20" s="43" customFormat="1" ht="45" x14ac:dyDescent="0.25">
      <c r="A70" s="41" t="s">
        <v>21</v>
      </c>
      <c r="B70" s="23">
        <v>44</v>
      </c>
      <c r="C70" s="41" t="s">
        <v>1549</v>
      </c>
      <c r="D70" s="42"/>
      <c r="E70" s="33">
        <v>494101.27</v>
      </c>
      <c r="F70" s="33">
        <f>274707.21+47332.31</f>
        <v>322039.52</v>
      </c>
      <c r="G70" s="27" t="s">
        <v>39</v>
      </c>
      <c r="H70" s="27" t="s">
        <v>39</v>
      </c>
      <c r="I70" s="26" t="s">
        <v>192</v>
      </c>
      <c r="J70" s="26">
        <v>41108</v>
      </c>
      <c r="K70" s="20" t="s">
        <v>1594</v>
      </c>
      <c r="L70" s="39">
        <v>5.0500000000000003E-2</v>
      </c>
      <c r="M70" s="31">
        <v>308166.81</v>
      </c>
      <c r="N70" s="32"/>
      <c r="O70" s="26">
        <v>41211</v>
      </c>
      <c r="P70" s="40">
        <v>90</v>
      </c>
      <c r="Q70" s="26">
        <v>41222</v>
      </c>
      <c r="R70" s="26" t="s">
        <v>196</v>
      </c>
      <c r="S70" s="26">
        <v>41620</v>
      </c>
      <c r="T70" s="26">
        <v>41709</v>
      </c>
    </row>
    <row r="71" spans="1:20" s="43" customFormat="1" ht="78.75" x14ac:dyDescent="0.25">
      <c r="A71" s="41" t="s">
        <v>29</v>
      </c>
      <c r="B71" s="23">
        <v>45</v>
      </c>
      <c r="C71" s="41" t="s">
        <v>1548</v>
      </c>
      <c r="D71" s="42"/>
      <c r="E71" s="33">
        <v>172126</v>
      </c>
      <c r="F71" s="33">
        <f>145885.43+2295.3</f>
        <v>148180.72999999998</v>
      </c>
      <c r="G71" s="27" t="s">
        <v>39</v>
      </c>
      <c r="H71" s="27" t="s">
        <v>39</v>
      </c>
      <c r="I71" s="26" t="s">
        <v>152</v>
      </c>
      <c r="J71" s="26">
        <v>41110</v>
      </c>
      <c r="K71" s="20" t="s">
        <v>1599</v>
      </c>
      <c r="L71" s="39">
        <v>0.108</v>
      </c>
      <c r="M71" s="31">
        <v>132425.1</v>
      </c>
      <c r="N71" s="32"/>
      <c r="O71" s="26">
        <v>41211</v>
      </c>
      <c r="P71" s="40">
        <v>90</v>
      </c>
      <c r="Q71" s="26">
        <v>41282</v>
      </c>
      <c r="R71" s="26" t="s">
        <v>197</v>
      </c>
      <c r="S71" s="26">
        <v>41747</v>
      </c>
      <c r="T71" s="26">
        <v>41824</v>
      </c>
    </row>
    <row r="72" spans="1:20" s="43" customFormat="1" ht="56.25" x14ac:dyDescent="0.25">
      <c r="A72" s="41" t="s">
        <v>21</v>
      </c>
      <c r="B72" s="23">
        <v>46</v>
      </c>
      <c r="C72" s="41" t="s">
        <v>1547</v>
      </c>
      <c r="D72" s="42"/>
      <c r="E72" s="33">
        <v>358882</v>
      </c>
      <c r="F72" s="33">
        <f>232531.12+36238.99</f>
        <v>268770.11</v>
      </c>
      <c r="G72" s="27" t="s">
        <v>39</v>
      </c>
      <c r="H72" s="27" t="s">
        <v>39</v>
      </c>
      <c r="I72" s="26" t="s">
        <v>152</v>
      </c>
      <c r="J72" s="26">
        <v>41110</v>
      </c>
      <c r="K72" s="38" t="s">
        <v>1600</v>
      </c>
      <c r="L72" s="39">
        <v>6.0299999999999999E-2</v>
      </c>
      <c r="M72" s="31">
        <v>254748.49</v>
      </c>
      <c r="N72" s="32"/>
      <c r="O72" s="26">
        <v>41248</v>
      </c>
      <c r="P72" s="40">
        <v>150</v>
      </c>
      <c r="Q72" s="51">
        <v>41288</v>
      </c>
      <c r="R72" s="26">
        <v>41288</v>
      </c>
      <c r="S72" s="26">
        <v>41834</v>
      </c>
      <c r="T72" s="26">
        <v>41922</v>
      </c>
    </row>
    <row r="73" spans="1:20" s="43" customFormat="1" ht="78.75" x14ac:dyDescent="0.25">
      <c r="A73" s="41" t="s">
        <v>21</v>
      </c>
      <c r="B73" s="23">
        <v>47</v>
      </c>
      <c r="C73" s="41" t="s">
        <v>1545</v>
      </c>
      <c r="D73" s="42"/>
      <c r="E73" s="33">
        <v>182342.34</v>
      </c>
      <c r="F73" s="33">
        <f>121876.95+6800+22010.4</f>
        <v>150687.35</v>
      </c>
      <c r="G73" s="27" t="s">
        <v>39</v>
      </c>
      <c r="H73" s="27" t="s">
        <v>39</v>
      </c>
      <c r="I73" s="26" t="s">
        <v>152</v>
      </c>
      <c r="J73" s="26">
        <v>41110</v>
      </c>
      <c r="K73" s="38" t="s">
        <v>1601</v>
      </c>
      <c r="L73" s="39">
        <v>0.20499999999999999</v>
      </c>
      <c r="M73" s="31">
        <v>124308.58</v>
      </c>
      <c r="N73" s="32"/>
      <c r="O73" s="26">
        <v>41261</v>
      </c>
      <c r="P73" s="40">
        <v>250</v>
      </c>
      <c r="Q73" s="51">
        <v>41298</v>
      </c>
      <c r="R73" s="26" t="s">
        <v>198</v>
      </c>
      <c r="S73" s="26">
        <v>41547</v>
      </c>
      <c r="T73" s="26">
        <v>41607</v>
      </c>
    </row>
    <row r="74" spans="1:20" s="43" customFormat="1" ht="45" x14ac:dyDescent="0.25">
      <c r="A74" s="41" t="s">
        <v>18</v>
      </c>
      <c r="B74" s="23">
        <v>48</v>
      </c>
      <c r="C74" s="41" t="s">
        <v>1546</v>
      </c>
      <c r="D74" s="42"/>
      <c r="E74" s="6">
        <v>119113.7</v>
      </c>
      <c r="F74" s="33">
        <f>75612+3173</f>
        <v>78785</v>
      </c>
      <c r="G74" s="27" t="s">
        <v>39</v>
      </c>
      <c r="H74" s="27" t="s">
        <v>39</v>
      </c>
      <c r="I74" s="26" t="s">
        <v>199</v>
      </c>
      <c r="J74" s="26">
        <v>41117</v>
      </c>
      <c r="K74" s="38" t="s">
        <v>1601</v>
      </c>
      <c r="L74" s="39">
        <v>0.25569999999999998</v>
      </c>
      <c r="M74" s="31">
        <v>59451.01</v>
      </c>
      <c r="N74" s="32"/>
      <c r="O74" s="26">
        <v>41211</v>
      </c>
      <c r="P74" s="40">
        <v>90</v>
      </c>
      <c r="Q74" s="52">
        <v>41232</v>
      </c>
      <c r="R74" s="27" t="s">
        <v>19</v>
      </c>
      <c r="S74" s="26">
        <v>41430</v>
      </c>
      <c r="T74" s="26">
        <v>41470</v>
      </c>
    </row>
    <row r="75" spans="1:20" s="43" customFormat="1" ht="67.5" x14ac:dyDescent="0.25">
      <c r="A75" s="41" t="s">
        <v>29</v>
      </c>
      <c r="B75" s="23">
        <v>49</v>
      </c>
      <c r="C75" s="41" t="s">
        <v>1544</v>
      </c>
      <c r="D75" s="42"/>
      <c r="E75" s="33">
        <v>1238271.42</v>
      </c>
      <c r="F75" s="33">
        <f>676754.65+85545.1</f>
        <v>762299.75</v>
      </c>
      <c r="G75" s="27" t="s">
        <v>39</v>
      </c>
      <c r="H75" s="27" t="s">
        <v>39</v>
      </c>
      <c r="I75" s="26" t="s">
        <v>199</v>
      </c>
      <c r="J75" s="26">
        <v>41117</v>
      </c>
      <c r="K75" s="38" t="s">
        <v>1602</v>
      </c>
      <c r="L75" s="39">
        <v>5.0500000000000003E-2</v>
      </c>
      <c r="M75" s="31">
        <v>728123.64</v>
      </c>
      <c r="N75" s="32"/>
      <c r="O75" s="26">
        <v>41248</v>
      </c>
      <c r="P75" s="40">
        <v>360</v>
      </c>
      <c r="Q75" s="26">
        <v>41320</v>
      </c>
      <c r="R75" s="26" t="s">
        <v>200</v>
      </c>
      <c r="S75" s="26">
        <v>42685</v>
      </c>
      <c r="T75" s="26">
        <v>42724</v>
      </c>
    </row>
    <row r="76" spans="1:20" s="43" customFormat="1" ht="11.25" x14ac:dyDescent="0.25">
      <c r="A76" s="41" t="s">
        <v>29</v>
      </c>
      <c r="B76" s="53" t="s">
        <v>201</v>
      </c>
      <c r="C76" s="41" t="s">
        <v>202</v>
      </c>
      <c r="D76" s="42"/>
      <c r="E76" s="33"/>
      <c r="F76" s="33"/>
      <c r="G76" s="27"/>
      <c r="H76" s="27"/>
      <c r="I76" s="26"/>
      <c r="J76" s="26"/>
      <c r="K76" s="38"/>
      <c r="L76" s="39"/>
      <c r="M76" s="31">
        <f>774359.19-728123.64</f>
        <v>46235.54999999993</v>
      </c>
      <c r="N76" s="32"/>
      <c r="O76" s="26">
        <v>41554</v>
      </c>
      <c r="P76" s="40"/>
      <c r="Q76" s="26"/>
      <c r="R76" s="26"/>
      <c r="S76" s="26"/>
      <c r="T76" s="26"/>
    </row>
    <row r="77" spans="1:20" s="43" customFormat="1" ht="11.25" x14ac:dyDescent="0.25">
      <c r="A77" s="41" t="s">
        <v>29</v>
      </c>
      <c r="B77" s="53" t="s">
        <v>203</v>
      </c>
      <c r="C77" s="41" t="s">
        <v>202</v>
      </c>
      <c r="D77" s="42"/>
      <c r="E77" s="33"/>
      <c r="F77" s="33"/>
      <c r="G77" s="27"/>
      <c r="H77" s="27"/>
      <c r="I77" s="26"/>
      <c r="J77" s="26"/>
      <c r="K77" s="38"/>
      <c r="L77" s="39"/>
      <c r="M77" s="31">
        <v>66634.62</v>
      </c>
      <c r="N77" s="32"/>
      <c r="O77" s="26">
        <v>42536</v>
      </c>
      <c r="P77" s="40"/>
      <c r="Q77" s="26"/>
      <c r="R77" s="26"/>
      <c r="S77" s="26"/>
      <c r="T77" s="26"/>
    </row>
    <row r="78" spans="1:20" s="43" customFormat="1" ht="45" x14ac:dyDescent="0.25">
      <c r="A78" s="41" t="s">
        <v>21</v>
      </c>
      <c r="B78" s="23">
        <v>50</v>
      </c>
      <c r="C78" s="41" t="s">
        <v>1543</v>
      </c>
      <c r="D78" s="42"/>
      <c r="E78" s="33">
        <v>1180000</v>
      </c>
      <c r="F78" s="33">
        <f>660287.37+54794.01</f>
        <v>715081.38</v>
      </c>
      <c r="G78" s="27" t="s">
        <v>39</v>
      </c>
      <c r="H78" s="27" t="s">
        <v>39</v>
      </c>
      <c r="I78" s="26" t="s">
        <v>199</v>
      </c>
      <c r="J78" s="26">
        <v>41117</v>
      </c>
      <c r="K78" s="20" t="s">
        <v>1594</v>
      </c>
      <c r="L78" s="35">
        <v>0.12341000000000001</v>
      </c>
      <c r="M78" s="31">
        <v>633595.31999999995</v>
      </c>
      <c r="N78" s="32"/>
      <c r="O78" s="26">
        <v>41387</v>
      </c>
      <c r="P78" s="40">
        <v>480</v>
      </c>
      <c r="Q78" s="26">
        <v>41465</v>
      </c>
      <c r="R78" s="26" t="s">
        <v>204</v>
      </c>
      <c r="S78" s="26">
        <v>42153</v>
      </c>
      <c r="T78" s="26">
        <v>42209</v>
      </c>
    </row>
    <row r="79" spans="1:20" s="43" customFormat="1" ht="22.5" x14ac:dyDescent="0.25">
      <c r="A79" s="41" t="s">
        <v>21</v>
      </c>
      <c r="B79" s="53" t="s">
        <v>205</v>
      </c>
      <c r="C79" s="41" t="s">
        <v>206</v>
      </c>
      <c r="D79" s="42"/>
      <c r="E79" s="33"/>
      <c r="F79" s="33"/>
      <c r="G79" s="27"/>
      <c r="H79" s="27"/>
      <c r="I79" s="26"/>
      <c r="J79" s="26"/>
      <c r="K79" s="20"/>
      <c r="L79" s="35"/>
      <c r="M79" s="31">
        <v>39929.269999999997</v>
      </c>
      <c r="N79" s="32"/>
      <c r="O79" s="28"/>
      <c r="P79" s="40"/>
      <c r="Q79" s="26"/>
      <c r="R79" s="26"/>
      <c r="S79" s="26"/>
      <c r="T79" s="26"/>
    </row>
    <row r="80" spans="1:20" s="43" customFormat="1" ht="67.5" x14ac:dyDescent="0.25">
      <c r="A80" s="41" t="s">
        <v>29</v>
      </c>
      <c r="B80" s="23">
        <v>51</v>
      </c>
      <c r="C80" s="41" t="s">
        <v>1542</v>
      </c>
      <c r="D80" s="42"/>
      <c r="E80" s="33">
        <v>171984.55</v>
      </c>
      <c r="F80" s="33">
        <f>145693.65+7666.46</f>
        <v>153360.10999999999</v>
      </c>
      <c r="G80" s="27" t="s">
        <v>39</v>
      </c>
      <c r="H80" s="27" t="s">
        <v>39</v>
      </c>
      <c r="I80" s="26" t="s">
        <v>207</v>
      </c>
      <c r="J80" s="26">
        <v>41124</v>
      </c>
      <c r="K80" s="56" t="s">
        <v>208</v>
      </c>
      <c r="L80" s="39">
        <v>9.5799999999999996E-2</v>
      </c>
      <c r="M80" s="31">
        <v>139402.66</v>
      </c>
      <c r="N80" s="32"/>
      <c r="O80" s="26">
        <v>41296</v>
      </c>
      <c r="P80" s="40">
        <v>210</v>
      </c>
      <c r="Q80" s="26">
        <v>41338</v>
      </c>
      <c r="R80" s="26">
        <v>41478</v>
      </c>
      <c r="S80" s="26">
        <v>41943</v>
      </c>
      <c r="T80" s="26">
        <v>42045</v>
      </c>
    </row>
    <row r="81" spans="1:20" s="43" customFormat="1" ht="22.5" x14ac:dyDescent="0.25">
      <c r="A81" s="41" t="s">
        <v>29</v>
      </c>
      <c r="B81" s="53" t="s">
        <v>209</v>
      </c>
      <c r="C81" s="41" t="s">
        <v>206</v>
      </c>
      <c r="D81" s="42"/>
      <c r="E81" s="33"/>
      <c r="F81" s="33"/>
      <c r="G81" s="27"/>
      <c r="H81" s="27"/>
      <c r="I81" s="26"/>
      <c r="J81" s="26"/>
      <c r="K81" s="56"/>
      <c r="L81" s="39"/>
      <c r="M81" s="31">
        <v>19317.62</v>
      </c>
      <c r="N81" s="32"/>
      <c r="O81" s="26"/>
      <c r="P81" s="40"/>
      <c r="Q81" s="26"/>
      <c r="R81" s="26"/>
      <c r="S81" s="26"/>
      <c r="T81" s="26"/>
    </row>
    <row r="82" spans="1:20" s="43" customFormat="1" ht="63" x14ac:dyDescent="0.25">
      <c r="A82" s="41" t="s">
        <v>18</v>
      </c>
      <c r="B82" s="23">
        <v>52</v>
      </c>
      <c r="C82" s="41" t="s">
        <v>1541</v>
      </c>
      <c r="D82" s="42"/>
      <c r="E82" s="6">
        <v>370636.79999999999</v>
      </c>
      <c r="F82" s="33">
        <f>290000+10000</f>
        <v>300000</v>
      </c>
      <c r="G82" s="27" t="s">
        <v>39</v>
      </c>
      <c r="H82" s="27" t="s">
        <v>39</v>
      </c>
      <c r="I82" s="26" t="s">
        <v>207</v>
      </c>
      <c r="J82" s="26">
        <v>41124</v>
      </c>
      <c r="K82" s="56" t="s">
        <v>208</v>
      </c>
      <c r="L82" s="39">
        <v>0.17549999999999999</v>
      </c>
      <c r="M82" s="31">
        <v>249105</v>
      </c>
      <c r="N82" s="32"/>
      <c r="O82" s="26">
        <v>41296</v>
      </c>
      <c r="P82" s="40">
        <v>154</v>
      </c>
      <c r="Q82" s="26">
        <v>41341</v>
      </c>
      <c r="R82" s="26" t="s">
        <v>210</v>
      </c>
      <c r="S82" s="26">
        <v>41985</v>
      </c>
      <c r="T82" s="26">
        <v>42019</v>
      </c>
    </row>
    <row r="83" spans="1:20" s="43" customFormat="1" ht="45" x14ac:dyDescent="0.25">
      <c r="A83" s="41" t="s">
        <v>29</v>
      </c>
      <c r="B83" s="23">
        <v>53</v>
      </c>
      <c r="C83" s="41" t="s">
        <v>1540</v>
      </c>
      <c r="D83" s="42"/>
      <c r="E83" s="33">
        <v>754518.58</v>
      </c>
      <c r="F83" s="33">
        <f>437801.52+20217.06</f>
        <v>458018.58</v>
      </c>
      <c r="G83" s="27" t="s">
        <v>39</v>
      </c>
      <c r="H83" s="27" t="s">
        <v>39</v>
      </c>
      <c r="I83" s="26" t="s">
        <v>211</v>
      </c>
      <c r="J83" s="26" t="s">
        <v>212</v>
      </c>
      <c r="K83" s="56" t="s">
        <v>213</v>
      </c>
      <c r="L83" s="39">
        <v>5.8000000000000003E-2</v>
      </c>
      <c r="M83" s="31">
        <v>432626.09</v>
      </c>
      <c r="N83" s="32"/>
      <c r="O83" s="26">
        <v>41229</v>
      </c>
      <c r="P83" s="40">
        <v>240</v>
      </c>
      <c r="Q83" s="26">
        <v>41255</v>
      </c>
      <c r="R83" s="26">
        <v>41256</v>
      </c>
      <c r="S83" s="26">
        <v>41955</v>
      </c>
      <c r="T83" s="26">
        <v>42040</v>
      </c>
    </row>
    <row r="84" spans="1:20" s="43" customFormat="1" ht="11.25" x14ac:dyDescent="0.25">
      <c r="A84" s="41" t="s">
        <v>29</v>
      </c>
      <c r="B84" s="140" t="s">
        <v>214</v>
      </c>
      <c r="C84" s="41" t="s">
        <v>190</v>
      </c>
      <c r="D84" s="42"/>
      <c r="E84" s="33"/>
      <c r="F84" s="33"/>
      <c r="G84" s="26"/>
      <c r="H84" s="26"/>
      <c r="I84" s="26"/>
      <c r="J84" s="28"/>
      <c r="K84" s="34"/>
      <c r="L84" s="1"/>
      <c r="M84" s="31">
        <f>453740.49-432626.09</f>
        <v>21114.399999999965</v>
      </c>
      <c r="N84" s="32"/>
      <c r="O84" s="26"/>
      <c r="P84" s="79"/>
      <c r="Q84" s="26"/>
      <c r="R84" s="26"/>
      <c r="S84" s="26"/>
      <c r="T84" s="26"/>
    </row>
    <row r="85" spans="1:20" s="43" customFormat="1" ht="22.5" x14ac:dyDescent="0.25">
      <c r="A85" s="41" t="s">
        <v>29</v>
      </c>
      <c r="B85" s="140" t="s">
        <v>215</v>
      </c>
      <c r="C85" s="41" t="s">
        <v>216</v>
      </c>
      <c r="D85" s="42"/>
      <c r="E85" s="33"/>
      <c r="F85" s="33"/>
      <c r="G85" s="26"/>
      <c r="H85" s="26"/>
      <c r="I85" s="26"/>
      <c r="J85" s="28"/>
      <c r="K85" s="34"/>
      <c r="L85" s="1"/>
      <c r="M85" s="31">
        <f>508284.8-453740.49</f>
        <v>54544.31</v>
      </c>
      <c r="N85" s="32"/>
      <c r="O85" s="26"/>
      <c r="P85" s="79"/>
      <c r="Q85" s="26"/>
      <c r="R85" s="26"/>
      <c r="S85" s="26"/>
      <c r="T85" s="26"/>
    </row>
    <row r="86" spans="1:20" s="43" customFormat="1" ht="56.25" x14ac:dyDescent="0.25">
      <c r="A86" s="41" t="s">
        <v>18</v>
      </c>
      <c r="B86" s="23">
        <v>55</v>
      </c>
      <c r="C86" s="41" t="s">
        <v>1539</v>
      </c>
      <c r="D86" s="42"/>
      <c r="E86" s="11">
        <v>2385800</v>
      </c>
      <c r="F86" s="33">
        <f>625600+15400</f>
        <v>641000</v>
      </c>
      <c r="G86" s="27" t="s">
        <v>39</v>
      </c>
      <c r="H86" s="27" t="s">
        <v>39</v>
      </c>
      <c r="I86" s="26" t="s">
        <v>217</v>
      </c>
      <c r="J86" s="27">
        <v>41205</v>
      </c>
      <c r="K86" s="38" t="s">
        <v>218</v>
      </c>
      <c r="L86" s="39">
        <v>9.2999999999999999E-2</v>
      </c>
      <c r="M86" s="31">
        <v>582819.19999999995</v>
      </c>
      <c r="N86" s="32"/>
      <c r="O86" s="26">
        <v>41325</v>
      </c>
      <c r="P86" s="40">
        <v>90</v>
      </c>
      <c r="Q86" s="26">
        <v>41337</v>
      </c>
      <c r="R86" s="26" t="s">
        <v>219</v>
      </c>
      <c r="S86" s="26">
        <v>41613</v>
      </c>
      <c r="T86" s="26">
        <v>41667</v>
      </c>
    </row>
    <row r="87" spans="1:20" s="43" customFormat="1" ht="81" x14ac:dyDescent="0.25">
      <c r="A87" s="41" t="s">
        <v>18</v>
      </c>
      <c r="B87" s="53" t="s">
        <v>220</v>
      </c>
      <c r="C87" s="41" t="s">
        <v>1603</v>
      </c>
      <c r="D87" s="42"/>
      <c r="E87" s="33"/>
      <c r="F87" s="33">
        <f>98000</f>
        <v>98000</v>
      </c>
      <c r="G87" s="27" t="s">
        <v>39</v>
      </c>
      <c r="H87" s="27" t="s">
        <v>39</v>
      </c>
      <c r="I87" s="26" t="s">
        <v>221</v>
      </c>
      <c r="J87" s="115">
        <v>41172</v>
      </c>
      <c r="K87" s="26" t="s">
        <v>40</v>
      </c>
      <c r="L87" s="54" t="s">
        <v>39</v>
      </c>
      <c r="M87" s="31">
        <v>90300</v>
      </c>
      <c r="N87" s="32"/>
      <c r="O87" s="26" t="s">
        <v>222</v>
      </c>
      <c r="P87" s="40"/>
      <c r="Q87" s="26"/>
      <c r="R87" s="26"/>
      <c r="S87" s="26"/>
      <c r="T87" s="26"/>
    </row>
    <row r="88" spans="1:20" s="43" customFormat="1" ht="90" x14ac:dyDescent="0.25">
      <c r="A88" s="41" t="s">
        <v>18</v>
      </c>
      <c r="B88" s="53" t="s">
        <v>223</v>
      </c>
      <c r="C88" s="41" t="s">
        <v>1604</v>
      </c>
      <c r="D88" s="42"/>
      <c r="E88" s="33"/>
      <c r="F88" s="33">
        <f>76000</f>
        <v>76000</v>
      </c>
      <c r="G88" s="27" t="s">
        <v>39</v>
      </c>
      <c r="H88" s="27" t="s">
        <v>39</v>
      </c>
      <c r="I88" s="26" t="s">
        <v>224</v>
      </c>
      <c r="J88" s="115">
        <v>41172</v>
      </c>
      <c r="K88" s="38" t="s">
        <v>176</v>
      </c>
      <c r="L88" s="54" t="s">
        <v>39</v>
      </c>
      <c r="M88" s="31">
        <v>70490</v>
      </c>
      <c r="N88" s="32"/>
      <c r="O88" s="26" t="s">
        <v>222</v>
      </c>
      <c r="P88" s="40"/>
      <c r="Q88" s="26"/>
      <c r="R88" s="26"/>
      <c r="S88" s="26"/>
      <c r="T88" s="26"/>
    </row>
    <row r="89" spans="1:20" s="43" customFormat="1" ht="101.25" x14ac:dyDescent="0.25">
      <c r="A89" s="41" t="s">
        <v>18</v>
      </c>
      <c r="B89" s="53" t="s">
        <v>225</v>
      </c>
      <c r="C89" s="41" t="s">
        <v>1605</v>
      </c>
      <c r="D89" s="42"/>
      <c r="E89" s="33"/>
      <c r="F89" s="33">
        <v>47300</v>
      </c>
      <c r="G89" s="27" t="s">
        <v>39</v>
      </c>
      <c r="H89" s="27" t="s">
        <v>39</v>
      </c>
      <c r="I89" s="26" t="s">
        <v>221</v>
      </c>
      <c r="J89" s="115">
        <v>41172</v>
      </c>
      <c r="K89" s="38" t="s">
        <v>226</v>
      </c>
      <c r="L89" s="54" t="s">
        <v>39</v>
      </c>
      <c r="M89" s="31">
        <v>39000</v>
      </c>
      <c r="N89" s="32"/>
      <c r="O89" s="26" t="s">
        <v>227</v>
      </c>
      <c r="P89" s="40"/>
      <c r="Q89" s="26"/>
      <c r="R89" s="26"/>
      <c r="S89" s="26"/>
      <c r="T89" s="26"/>
    </row>
    <row r="90" spans="1:20" s="43" customFormat="1" ht="101.25" x14ac:dyDescent="0.25">
      <c r="A90" s="41" t="s">
        <v>18</v>
      </c>
      <c r="B90" s="53" t="s">
        <v>228</v>
      </c>
      <c r="C90" s="41" t="s">
        <v>1606</v>
      </c>
      <c r="D90" s="42"/>
      <c r="E90" s="33"/>
      <c r="F90" s="33">
        <v>88700</v>
      </c>
      <c r="G90" s="27" t="s">
        <v>39</v>
      </c>
      <c r="H90" s="27" t="s">
        <v>39</v>
      </c>
      <c r="I90" s="26" t="s">
        <v>229</v>
      </c>
      <c r="J90" s="115">
        <v>41172</v>
      </c>
      <c r="K90" s="38" t="s">
        <v>116</v>
      </c>
      <c r="L90" s="54" t="s">
        <v>39</v>
      </c>
      <c r="M90" s="31">
        <v>75000</v>
      </c>
      <c r="N90" s="32"/>
      <c r="O90" s="26" t="s">
        <v>230</v>
      </c>
      <c r="P90" s="40"/>
      <c r="Q90" s="26"/>
      <c r="R90" s="26"/>
      <c r="S90" s="26"/>
      <c r="T90" s="26"/>
    </row>
    <row r="91" spans="1:20" s="43" customFormat="1" ht="90" x14ac:dyDescent="0.25">
      <c r="A91" s="41" t="s">
        <v>18</v>
      </c>
      <c r="B91" s="53" t="s">
        <v>231</v>
      </c>
      <c r="C91" s="41" t="s">
        <v>1607</v>
      </c>
      <c r="D91" s="42"/>
      <c r="E91" s="33"/>
      <c r="F91" s="33">
        <v>18000</v>
      </c>
      <c r="G91" s="27" t="s">
        <v>39</v>
      </c>
      <c r="H91" s="27" t="s">
        <v>39</v>
      </c>
      <c r="I91" s="26" t="s">
        <v>221</v>
      </c>
      <c r="J91" s="115">
        <v>41172</v>
      </c>
      <c r="K91" s="38" t="s">
        <v>116</v>
      </c>
      <c r="L91" s="54" t="s">
        <v>39</v>
      </c>
      <c r="M91" s="31">
        <v>13000</v>
      </c>
      <c r="N91" s="32"/>
      <c r="O91" s="26" t="s">
        <v>222</v>
      </c>
      <c r="P91" s="40"/>
      <c r="Q91" s="26"/>
      <c r="R91" s="26"/>
      <c r="S91" s="26"/>
      <c r="T91" s="26"/>
    </row>
    <row r="92" spans="1:20" s="43" customFormat="1" ht="101.25" x14ac:dyDescent="0.25">
      <c r="A92" s="41" t="s">
        <v>18</v>
      </c>
      <c r="B92" s="53" t="s">
        <v>232</v>
      </c>
      <c r="C92" s="41" t="s">
        <v>1608</v>
      </c>
      <c r="D92" s="42"/>
      <c r="E92" s="33"/>
      <c r="F92" s="33">
        <v>119000</v>
      </c>
      <c r="G92" s="27" t="s">
        <v>39</v>
      </c>
      <c r="H92" s="27" t="s">
        <v>39</v>
      </c>
      <c r="I92" s="26" t="s">
        <v>233</v>
      </c>
      <c r="J92" s="115">
        <v>41183</v>
      </c>
      <c r="K92" s="38" t="s">
        <v>234</v>
      </c>
      <c r="L92" s="54">
        <v>2.1999999999999999E-2</v>
      </c>
      <c r="M92" s="31">
        <v>116382</v>
      </c>
      <c r="N92" s="32"/>
      <c r="O92" s="26" t="s">
        <v>222</v>
      </c>
      <c r="P92" s="40"/>
      <c r="Q92" s="26"/>
      <c r="R92" s="26"/>
      <c r="S92" s="26"/>
      <c r="T92" s="26"/>
    </row>
    <row r="93" spans="1:20" s="43" customFormat="1" ht="78.75" x14ac:dyDescent="0.25">
      <c r="A93" s="41" t="s">
        <v>18</v>
      </c>
      <c r="B93" s="53" t="s">
        <v>235</v>
      </c>
      <c r="C93" s="41" t="s">
        <v>1609</v>
      </c>
      <c r="D93" s="42"/>
      <c r="E93" s="33"/>
      <c r="F93" s="33">
        <f>874000+10000</f>
        <v>884000</v>
      </c>
      <c r="G93" s="26" t="s">
        <v>236</v>
      </c>
      <c r="H93" s="27" t="s">
        <v>39</v>
      </c>
      <c r="I93" s="27" t="s">
        <v>39</v>
      </c>
      <c r="J93" s="26">
        <v>41297</v>
      </c>
      <c r="K93" s="38" t="s">
        <v>237</v>
      </c>
      <c r="L93" s="35">
        <v>0.19173000000000001</v>
      </c>
      <c r="M93" s="31">
        <f>706427.98+10000</f>
        <v>716427.98</v>
      </c>
      <c r="N93" s="32"/>
      <c r="O93" s="26">
        <v>41549</v>
      </c>
      <c r="P93" s="40" t="s">
        <v>238</v>
      </c>
      <c r="Q93" s="26"/>
      <c r="R93" s="26" t="s">
        <v>239</v>
      </c>
      <c r="S93" s="26">
        <v>41740</v>
      </c>
      <c r="T93" s="26"/>
    </row>
    <row r="94" spans="1:20" s="43" customFormat="1" ht="90" x14ac:dyDescent="0.25">
      <c r="A94" s="41" t="s">
        <v>18</v>
      </c>
      <c r="B94" s="53" t="s">
        <v>240</v>
      </c>
      <c r="C94" s="41" t="s">
        <v>1610</v>
      </c>
      <c r="D94" s="42"/>
      <c r="E94" s="33"/>
      <c r="F94" s="33">
        <v>33000</v>
      </c>
      <c r="G94" s="27" t="s">
        <v>39</v>
      </c>
      <c r="H94" s="27" t="s">
        <v>39</v>
      </c>
      <c r="I94" s="26" t="s">
        <v>241</v>
      </c>
      <c r="J94" s="26">
        <v>41192</v>
      </c>
      <c r="K94" s="38" t="s">
        <v>172</v>
      </c>
      <c r="L94" s="27" t="s">
        <v>39</v>
      </c>
      <c r="M94" s="31">
        <v>33000</v>
      </c>
      <c r="N94" s="32"/>
      <c r="O94" s="26" t="s">
        <v>222</v>
      </c>
      <c r="P94" s="40"/>
      <c r="Q94" s="26"/>
      <c r="R94" s="26"/>
      <c r="S94" s="26"/>
      <c r="T94" s="26"/>
    </row>
    <row r="95" spans="1:20" s="43" customFormat="1" ht="56.25" x14ac:dyDescent="0.25">
      <c r="A95" s="41" t="s">
        <v>29</v>
      </c>
      <c r="B95" s="23">
        <v>56</v>
      </c>
      <c r="C95" s="41" t="s">
        <v>1538</v>
      </c>
      <c r="D95" s="42"/>
      <c r="E95" s="33">
        <v>267248</v>
      </c>
      <c r="F95" s="33">
        <v>234303.71</v>
      </c>
      <c r="G95" s="27" t="s">
        <v>39</v>
      </c>
      <c r="H95" s="27" t="s">
        <v>39</v>
      </c>
      <c r="I95" s="26" t="s">
        <v>242</v>
      </c>
      <c r="J95" s="28">
        <v>41180</v>
      </c>
      <c r="K95" s="38" t="s">
        <v>156</v>
      </c>
      <c r="L95" s="39">
        <v>5.3499999999999999E-2</v>
      </c>
      <c r="M95" s="31">
        <v>222009.24</v>
      </c>
      <c r="N95" s="32"/>
      <c r="O95" s="26">
        <v>41261</v>
      </c>
      <c r="P95" s="40">
        <v>250</v>
      </c>
      <c r="Q95" s="26">
        <v>41341</v>
      </c>
      <c r="R95" s="26" t="s">
        <v>243</v>
      </c>
      <c r="S95" s="26">
        <v>41992</v>
      </c>
      <c r="T95" s="26">
        <v>42067</v>
      </c>
    </row>
    <row r="96" spans="1:20" s="43" customFormat="1" ht="22.5" x14ac:dyDescent="0.25">
      <c r="A96" s="41" t="s">
        <v>29</v>
      </c>
      <c r="B96" s="53" t="s">
        <v>244</v>
      </c>
      <c r="C96" s="41" t="s">
        <v>245</v>
      </c>
      <c r="D96" s="42"/>
      <c r="E96" s="33"/>
      <c r="F96" s="33"/>
      <c r="G96" s="27"/>
      <c r="H96" s="27"/>
      <c r="I96" s="26"/>
      <c r="J96" s="28"/>
      <c r="K96" s="38"/>
      <c r="L96" s="39"/>
      <c r="M96" s="31">
        <v>82616.710000000006</v>
      </c>
      <c r="N96" s="32"/>
      <c r="O96" s="55"/>
      <c r="P96" s="40"/>
      <c r="Q96" s="26"/>
      <c r="R96" s="26"/>
      <c r="S96" s="26"/>
      <c r="T96" s="26"/>
    </row>
    <row r="97" spans="1:20" s="43" customFormat="1" ht="67.5" x14ac:dyDescent="0.25">
      <c r="A97" s="41" t="s">
        <v>29</v>
      </c>
      <c r="B97" s="23">
        <v>57</v>
      </c>
      <c r="C97" s="41" t="s">
        <v>246</v>
      </c>
      <c r="D97" s="42"/>
      <c r="E97" s="33">
        <v>186545.5</v>
      </c>
      <c r="F97" s="33">
        <v>182399.89</v>
      </c>
      <c r="G97" s="27" t="s">
        <v>39</v>
      </c>
      <c r="H97" s="27" t="s">
        <v>39</v>
      </c>
      <c r="I97" s="26" t="s">
        <v>247</v>
      </c>
      <c r="J97" s="28">
        <v>41192</v>
      </c>
      <c r="K97" s="38" t="s">
        <v>248</v>
      </c>
      <c r="L97" s="39">
        <v>4.1500000000000002E-2</v>
      </c>
      <c r="M97" s="31">
        <v>174954.13</v>
      </c>
      <c r="N97" s="32"/>
      <c r="O97" s="26">
        <v>41261</v>
      </c>
      <c r="P97" s="40">
        <v>150</v>
      </c>
      <c r="Q97" s="26">
        <v>41379</v>
      </c>
      <c r="R97" s="26" t="s">
        <v>197</v>
      </c>
      <c r="S97" s="26">
        <v>41618</v>
      </c>
      <c r="T97" s="26">
        <v>41627</v>
      </c>
    </row>
    <row r="98" spans="1:20" s="43" customFormat="1" ht="22.5" x14ac:dyDescent="0.25">
      <c r="A98" s="41" t="s">
        <v>29</v>
      </c>
      <c r="B98" s="53" t="s">
        <v>249</v>
      </c>
      <c r="C98" s="41" t="s">
        <v>245</v>
      </c>
      <c r="D98" s="42"/>
      <c r="E98" s="33"/>
      <c r="F98" s="33"/>
      <c r="G98" s="27"/>
      <c r="H98" s="27"/>
      <c r="I98" s="26"/>
      <c r="J98" s="28"/>
      <c r="K98" s="38"/>
      <c r="L98" s="39"/>
      <c r="M98" s="31">
        <v>72393.509999999995</v>
      </c>
      <c r="N98" s="32"/>
      <c r="O98" s="26"/>
      <c r="P98" s="40"/>
      <c r="Q98" s="26"/>
      <c r="R98" s="26"/>
      <c r="S98" s="26"/>
      <c r="T98" s="26"/>
    </row>
    <row r="99" spans="1:20" s="43" customFormat="1" ht="22.5" x14ac:dyDescent="0.25">
      <c r="A99" s="41" t="s">
        <v>29</v>
      </c>
      <c r="B99" s="53" t="s">
        <v>250</v>
      </c>
      <c r="C99" s="41" t="s">
        <v>251</v>
      </c>
      <c r="D99" s="42"/>
      <c r="E99" s="33"/>
      <c r="F99" s="33"/>
      <c r="G99" s="27"/>
      <c r="H99" s="27"/>
      <c r="I99" s="26"/>
      <c r="J99" s="28"/>
      <c r="K99" s="38"/>
      <c r="L99" s="39"/>
      <c r="M99" s="31">
        <v>29890.34</v>
      </c>
      <c r="N99" s="32"/>
      <c r="O99" s="26"/>
      <c r="P99" s="40"/>
      <c r="Q99" s="26"/>
      <c r="R99" s="26"/>
      <c r="S99" s="26"/>
      <c r="T99" s="26"/>
    </row>
    <row r="100" spans="1:20" s="43" customFormat="1" ht="56.25" x14ac:dyDescent="0.25">
      <c r="A100" s="41" t="s">
        <v>18</v>
      </c>
      <c r="B100" s="23">
        <v>58</v>
      </c>
      <c r="C100" s="41" t="s">
        <v>1537</v>
      </c>
      <c r="D100" s="38"/>
      <c r="E100" s="33">
        <v>12157.5</v>
      </c>
      <c r="F100" s="33">
        <v>10890</v>
      </c>
      <c r="G100" s="27" t="s">
        <v>39</v>
      </c>
      <c r="H100" s="27" t="s">
        <v>39</v>
      </c>
      <c r="I100" s="26" t="s">
        <v>252</v>
      </c>
      <c r="J100" s="28">
        <v>41305</v>
      </c>
      <c r="K100" s="38" t="s">
        <v>253</v>
      </c>
      <c r="L100" s="39">
        <v>0.16159999999999999</v>
      </c>
      <c r="M100" s="31">
        <v>9163.5</v>
      </c>
      <c r="N100" s="32"/>
      <c r="O100" s="26" t="s">
        <v>254</v>
      </c>
      <c r="P100" s="40"/>
      <c r="Q100" s="26"/>
      <c r="R100" s="26"/>
      <c r="S100" s="26">
        <v>41409</v>
      </c>
      <c r="T100" s="26">
        <v>41423</v>
      </c>
    </row>
    <row r="101" spans="1:20" s="43" customFormat="1" ht="33.75" x14ac:dyDescent="0.25">
      <c r="A101" s="41" t="s">
        <v>21</v>
      </c>
      <c r="B101" s="23">
        <v>59</v>
      </c>
      <c r="C101" s="41" t="s">
        <v>255</v>
      </c>
      <c r="D101" s="42"/>
      <c r="E101" s="33">
        <v>56000</v>
      </c>
      <c r="F101" s="33">
        <f>32382.2+617.8</f>
        <v>33000</v>
      </c>
      <c r="G101" s="27" t="s">
        <v>39</v>
      </c>
      <c r="H101" s="27" t="s">
        <v>39</v>
      </c>
      <c r="I101" s="26" t="s">
        <v>256</v>
      </c>
      <c r="J101" s="28">
        <v>41332</v>
      </c>
      <c r="K101" s="38" t="s">
        <v>257</v>
      </c>
      <c r="L101" s="39">
        <v>0.56999999999999995</v>
      </c>
      <c r="M101" s="31">
        <v>14190</v>
      </c>
      <c r="N101" s="32"/>
      <c r="O101" s="28">
        <v>41397</v>
      </c>
      <c r="P101" s="40">
        <v>30</v>
      </c>
      <c r="Q101" s="26">
        <v>41470</v>
      </c>
      <c r="R101" s="26" t="s">
        <v>258</v>
      </c>
      <c r="S101" s="26">
        <v>41474</v>
      </c>
      <c r="T101" s="26">
        <v>41479</v>
      </c>
    </row>
    <row r="102" spans="1:20" s="43" customFormat="1" ht="67.5" x14ac:dyDescent="0.25">
      <c r="A102" s="41" t="s">
        <v>18</v>
      </c>
      <c r="B102" s="23">
        <v>60</v>
      </c>
      <c r="C102" s="41" t="s">
        <v>259</v>
      </c>
      <c r="D102" s="38"/>
      <c r="E102" s="33">
        <v>718000</v>
      </c>
      <c r="F102" s="2">
        <f>614238.75+35761.25+15000</f>
        <v>665000</v>
      </c>
      <c r="G102" s="27" t="s">
        <v>39</v>
      </c>
      <c r="H102" s="27" t="s">
        <v>39</v>
      </c>
      <c r="I102" s="26" t="s">
        <v>260</v>
      </c>
      <c r="J102" s="28" t="s">
        <v>261</v>
      </c>
      <c r="K102" s="38" t="s">
        <v>262</v>
      </c>
      <c r="L102" s="35">
        <v>0.20282</v>
      </c>
      <c r="M102" s="31">
        <v>537377.80000000005</v>
      </c>
      <c r="N102" s="32"/>
      <c r="O102" s="26">
        <v>41549</v>
      </c>
      <c r="P102" s="40" t="s">
        <v>263</v>
      </c>
      <c r="Q102" s="26">
        <v>41680</v>
      </c>
      <c r="R102" s="26">
        <v>41680</v>
      </c>
      <c r="S102" s="26">
        <v>42097</v>
      </c>
      <c r="T102" s="26">
        <v>42283</v>
      </c>
    </row>
    <row r="103" spans="1:20" s="43" customFormat="1" ht="90" x14ac:dyDescent="0.25">
      <c r="A103" s="41" t="s">
        <v>21</v>
      </c>
      <c r="B103" s="23">
        <v>61</v>
      </c>
      <c r="C103" s="41" t="s">
        <v>1536</v>
      </c>
      <c r="D103" s="42"/>
      <c r="E103" s="33">
        <v>1956450</v>
      </c>
      <c r="F103" s="33">
        <f>1594988.75+15011.25</f>
        <v>1610000</v>
      </c>
      <c r="G103" s="26" t="s">
        <v>264</v>
      </c>
      <c r="H103" s="27" t="s">
        <v>39</v>
      </c>
      <c r="I103" s="27" t="s">
        <v>39</v>
      </c>
      <c r="J103" s="28" t="s">
        <v>265</v>
      </c>
      <c r="K103" s="38" t="s">
        <v>266</v>
      </c>
      <c r="L103" s="35">
        <v>0.26388</v>
      </c>
      <c r="M103" s="31">
        <v>1189114.3700000001</v>
      </c>
      <c r="N103" s="32"/>
      <c r="O103" s="26">
        <v>41598</v>
      </c>
      <c r="P103" s="40">
        <v>165</v>
      </c>
      <c r="Q103" s="22" t="s">
        <v>267</v>
      </c>
      <c r="R103" s="26" t="s">
        <v>268</v>
      </c>
      <c r="S103" s="26">
        <v>41976</v>
      </c>
      <c r="T103" s="26">
        <v>42216</v>
      </c>
    </row>
    <row r="104" spans="1:20" s="43" customFormat="1" ht="22.5" x14ac:dyDescent="0.25">
      <c r="A104" s="41" t="s">
        <v>21</v>
      </c>
      <c r="B104" s="140" t="s">
        <v>269</v>
      </c>
      <c r="C104" s="41" t="s">
        <v>216</v>
      </c>
      <c r="D104" s="42"/>
      <c r="E104" s="33"/>
      <c r="F104" s="33"/>
      <c r="G104" s="26"/>
      <c r="H104" s="26"/>
      <c r="I104" s="26"/>
      <c r="J104" s="28"/>
      <c r="K104" s="34"/>
      <c r="L104" s="1"/>
      <c r="M104" s="31">
        <f>1283839.59-1189114.37</f>
        <v>94725.219999999972</v>
      </c>
      <c r="N104" s="32"/>
      <c r="O104" s="26"/>
      <c r="P104" s="79"/>
      <c r="Q104" s="26"/>
      <c r="R104" s="26"/>
      <c r="S104" s="26"/>
      <c r="T104" s="26"/>
    </row>
    <row r="105" spans="1:20" s="43" customFormat="1" ht="78.75" x14ac:dyDescent="0.25">
      <c r="A105" s="41" t="s">
        <v>29</v>
      </c>
      <c r="B105" s="23">
        <v>62</v>
      </c>
      <c r="C105" s="41" t="s">
        <v>1611</v>
      </c>
      <c r="D105" s="38"/>
      <c r="E105" s="33">
        <v>201540.66</v>
      </c>
      <c r="F105" s="2">
        <f>159715.63+2428.5</f>
        <v>162144.13</v>
      </c>
      <c r="G105" s="27" t="s">
        <v>39</v>
      </c>
      <c r="H105" s="27" t="s">
        <v>39</v>
      </c>
      <c r="I105" s="26" t="s">
        <v>270</v>
      </c>
      <c r="J105" s="28" t="s">
        <v>271</v>
      </c>
      <c r="K105" s="38" t="s">
        <v>272</v>
      </c>
      <c r="L105" s="39">
        <v>5.9499999999999997E-2</v>
      </c>
      <c r="M105" s="31">
        <v>152641.04999999999</v>
      </c>
      <c r="N105" s="32"/>
      <c r="O105" s="26">
        <v>41613</v>
      </c>
      <c r="P105" s="40">
        <v>150</v>
      </c>
      <c r="Q105" s="26">
        <v>41654</v>
      </c>
      <c r="R105" s="26" t="s">
        <v>273</v>
      </c>
      <c r="S105" s="26">
        <v>41845</v>
      </c>
      <c r="T105" s="26">
        <v>41890</v>
      </c>
    </row>
    <row r="106" spans="1:20" s="43" customFormat="1" ht="90" x14ac:dyDescent="0.25">
      <c r="A106" s="41" t="s">
        <v>18</v>
      </c>
      <c r="B106" s="23">
        <v>63</v>
      </c>
      <c r="C106" s="41" t="s">
        <v>274</v>
      </c>
      <c r="D106" s="42"/>
      <c r="E106" s="33">
        <v>5156.63</v>
      </c>
      <c r="F106" s="33">
        <f>3400+456.63</f>
        <v>3856.63</v>
      </c>
      <c r="G106" s="27"/>
      <c r="H106" s="27"/>
      <c r="I106" s="26"/>
      <c r="J106" s="28"/>
      <c r="K106" s="38" t="s">
        <v>275</v>
      </c>
      <c r="L106" s="39">
        <v>0.08</v>
      </c>
      <c r="M106" s="31">
        <v>3584.63</v>
      </c>
      <c r="N106" s="32"/>
      <c r="O106" s="26" t="s">
        <v>276</v>
      </c>
      <c r="P106" s="40"/>
      <c r="Q106" s="26"/>
      <c r="R106" s="26"/>
      <c r="S106" s="26"/>
      <c r="T106" s="26"/>
    </row>
    <row r="107" spans="1:20" s="43" customFormat="1" ht="67.5" x14ac:dyDescent="0.25">
      <c r="A107" s="41" t="s">
        <v>29</v>
      </c>
      <c r="B107" s="23">
        <v>64</v>
      </c>
      <c r="C107" s="41" t="s">
        <v>1535</v>
      </c>
      <c r="D107" s="42"/>
      <c r="E107" s="33">
        <v>135248.53</v>
      </c>
      <c r="F107" s="33">
        <f>92571.3+3029.23</f>
        <v>95600.53</v>
      </c>
      <c r="G107" s="27" t="s">
        <v>19</v>
      </c>
      <c r="H107" s="27" t="s">
        <v>19</v>
      </c>
      <c r="I107" s="26">
        <v>41709</v>
      </c>
      <c r="J107" s="28">
        <v>41730</v>
      </c>
      <c r="K107" s="38" t="s">
        <v>1612</v>
      </c>
      <c r="L107" s="35">
        <v>0.26554</v>
      </c>
      <c r="M107" s="31">
        <v>71019.149999999994</v>
      </c>
      <c r="N107" s="32">
        <v>41852</v>
      </c>
      <c r="O107" s="28">
        <v>41898</v>
      </c>
      <c r="P107" s="40"/>
      <c r="Q107" s="26">
        <v>41955</v>
      </c>
      <c r="R107" s="26"/>
      <c r="S107" s="22">
        <v>42335</v>
      </c>
      <c r="T107" s="26">
        <v>42384</v>
      </c>
    </row>
    <row r="108" spans="1:20" s="43" customFormat="1" ht="56.25" x14ac:dyDescent="0.25">
      <c r="A108" s="41" t="s">
        <v>29</v>
      </c>
      <c r="B108" s="23">
        <v>65</v>
      </c>
      <c r="C108" s="41" t="s">
        <v>1613</v>
      </c>
      <c r="D108" s="38"/>
      <c r="E108" s="33">
        <v>70457.399999999994</v>
      </c>
      <c r="F108" s="33">
        <f>62340.77+4240.32</f>
        <v>66581.09</v>
      </c>
      <c r="G108" s="27" t="s">
        <v>19</v>
      </c>
      <c r="H108" s="27" t="s">
        <v>19</v>
      </c>
      <c r="I108" s="26">
        <v>41709</v>
      </c>
      <c r="J108" s="28">
        <v>41730</v>
      </c>
      <c r="K108" s="38" t="s">
        <v>1601</v>
      </c>
      <c r="L108" s="39">
        <v>0.2271</v>
      </c>
      <c r="M108" s="31">
        <v>52423.5</v>
      </c>
      <c r="N108" s="32"/>
      <c r="O108" s="28">
        <v>41898</v>
      </c>
      <c r="P108" s="40"/>
      <c r="Q108" s="26">
        <v>41942</v>
      </c>
      <c r="R108" s="26"/>
      <c r="S108" s="26">
        <v>42207</v>
      </c>
      <c r="T108" s="26">
        <v>42262</v>
      </c>
    </row>
    <row r="109" spans="1:20" s="43" customFormat="1" ht="11.25" x14ac:dyDescent="0.25">
      <c r="A109" s="41" t="s">
        <v>29</v>
      </c>
      <c r="B109" s="53" t="s">
        <v>277</v>
      </c>
      <c r="C109" s="41"/>
      <c r="D109" s="38"/>
      <c r="E109" s="33"/>
      <c r="F109" s="33"/>
      <c r="G109" s="27"/>
      <c r="H109" s="27"/>
      <c r="I109" s="26"/>
      <c r="J109" s="28"/>
      <c r="K109" s="38"/>
      <c r="L109" s="39"/>
      <c r="M109" s="31">
        <v>5936.47</v>
      </c>
      <c r="N109" s="32"/>
      <c r="O109" s="28"/>
      <c r="P109" s="40"/>
      <c r="Q109" s="26"/>
      <c r="R109" s="26"/>
      <c r="S109" s="26"/>
      <c r="T109" s="26"/>
    </row>
    <row r="110" spans="1:20" s="43" customFormat="1" ht="112.5" x14ac:dyDescent="0.25">
      <c r="A110" s="41" t="s">
        <v>18</v>
      </c>
      <c r="B110" s="23">
        <v>66</v>
      </c>
      <c r="C110" s="41" t="s">
        <v>1534</v>
      </c>
      <c r="D110" s="38"/>
      <c r="E110" s="33">
        <v>1332225.3799999999</v>
      </c>
      <c r="F110" s="2">
        <f>829560.45+58881.82</f>
        <v>888442.2699999999</v>
      </c>
      <c r="G110" s="27" t="s">
        <v>19</v>
      </c>
      <c r="H110" s="27" t="s">
        <v>19</v>
      </c>
      <c r="I110" s="29">
        <v>41712</v>
      </c>
      <c r="J110" s="28">
        <v>41737</v>
      </c>
      <c r="K110" s="38" t="s">
        <v>301</v>
      </c>
      <c r="L110" s="39">
        <v>7.85E-2</v>
      </c>
      <c r="M110" s="31">
        <v>823321.77</v>
      </c>
      <c r="N110" s="32"/>
      <c r="O110" s="28">
        <v>41838</v>
      </c>
      <c r="P110" s="40">
        <v>270</v>
      </c>
      <c r="Q110" s="26">
        <v>41879</v>
      </c>
      <c r="R110" s="26" t="s">
        <v>278</v>
      </c>
      <c r="S110" s="26">
        <v>42549</v>
      </c>
      <c r="T110" s="26">
        <v>42689</v>
      </c>
    </row>
    <row r="111" spans="1:20" s="43" customFormat="1" ht="146.25" x14ac:dyDescent="0.25">
      <c r="A111" s="41" t="s">
        <v>21</v>
      </c>
      <c r="B111" s="23">
        <v>67</v>
      </c>
      <c r="C111" s="41" t="s">
        <v>1533</v>
      </c>
      <c r="D111" s="42"/>
      <c r="E111" s="33">
        <v>614593</v>
      </c>
      <c r="F111" s="33">
        <f>344000+12000</f>
        <v>356000</v>
      </c>
      <c r="G111" s="27" t="s">
        <v>39</v>
      </c>
      <c r="H111" s="27" t="s">
        <v>39</v>
      </c>
      <c r="I111" s="26">
        <v>41717</v>
      </c>
      <c r="J111" s="28">
        <v>41740</v>
      </c>
      <c r="K111" s="38" t="s">
        <v>1614</v>
      </c>
      <c r="L111" s="39">
        <v>7.0999999999999994E-2</v>
      </c>
      <c r="M111" s="31">
        <v>331576</v>
      </c>
      <c r="N111" s="32"/>
      <c r="O111" s="26">
        <v>41838</v>
      </c>
      <c r="P111" s="40">
        <v>210</v>
      </c>
      <c r="Q111" s="26">
        <v>41898</v>
      </c>
      <c r="R111" s="26" t="s">
        <v>279</v>
      </c>
      <c r="S111" s="26">
        <v>42292</v>
      </c>
      <c r="T111" s="26">
        <v>42366</v>
      </c>
    </row>
    <row r="112" spans="1:20" s="43" customFormat="1" ht="56.25" x14ac:dyDescent="0.25">
      <c r="A112" s="41" t="s">
        <v>29</v>
      </c>
      <c r="B112" s="23">
        <v>68</v>
      </c>
      <c r="C112" s="41" t="s">
        <v>1615</v>
      </c>
      <c r="D112" s="38"/>
      <c r="E112" s="33">
        <v>294125.74</v>
      </c>
      <c r="F112" s="2">
        <f>175518.61+12213.56</f>
        <v>187732.16999999998</v>
      </c>
      <c r="G112" s="27" t="s">
        <v>19</v>
      </c>
      <c r="H112" s="27" t="s">
        <v>19</v>
      </c>
      <c r="I112" s="26">
        <v>41723</v>
      </c>
      <c r="J112" s="28">
        <v>41745</v>
      </c>
      <c r="K112" s="38" t="s">
        <v>1616</v>
      </c>
      <c r="L112" s="35">
        <v>0.17135</v>
      </c>
      <c r="M112" s="31">
        <v>157657.06</v>
      </c>
      <c r="N112" s="32"/>
      <c r="O112" s="28">
        <v>41898</v>
      </c>
      <c r="P112" s="40">
        <v>100</v>
      </c>
      <c r="Q112" s="26">
        <v>41912</v>
      </c>
      <c r="R112" s="26" t="s">
        <v>280</v>
      </c>
      <c r="S112" s="26">
        <v>42530</v>
      </c>
      <c r="T112" s="26">
        <v>42551</v>
      </c>
    </row>
    <row r="113" spans="1:20" s="43" customFormat="1" ht="90" x14ac:dyDescent="0.25">
      <c r="A113" s="41" t="s">
        <v>18</v>
      </c>
      <c r="B113" s="23">
        <v>69</v>
      </c>
      <c r="C113" s="41" t="s">
        <v>1532</v>
      </c>
      <c r="D113" s="42"/>
      <c r="E113" s="33">
        <v>1617368.23</v>
      </c>
      <c r="F113" s="33">
        <f>1178848.32+51871.37</f>
        <v>1230719.6900000002</v>
      </c>
      <c r="G113" s="27" t="s">
        <v>19</v>
      </c>
      <c r="H113" s="27" t="s">
        <v>19</v>
      </c>
      <c r="I113" s="26">
        <v>41723</v>
      </c>
      <c r="J113" s="28">
        <v>41752</v>
      </c>
      <c r="K113" s="38" t="s">
        <v>301</v>
      </c>
      <c r="L113" s="35">
        <v>8.0140000000000003E-2</v>
      </c>
      <c r="M113" s="31">
        <v>1136246.79</v>
      </c>
      <c r="N113" s="32"/>
      <c r="O113" s="26">
        <v>41838</v>
      </c>
      <c r="P113" s="40">
        <v>480</v>
      </c>
      <c r="Q113" s="26">
        <v>41890</v>
      </c>
      <c r="R113" s="26" t="s">
        <v>281</v>
      </c>
      <c r="S113" s="26">
        <v>42732</v>
      </c>
      <c r="T113" s="26">
        <v>42821</v>
      </c>
    </row>
    <row r="114" spans="1:20" s="43" customFormat="1" ht="45" x14ac:dyDescent="0.25">
      <c r="A114" s="41" t="s">
        <v>18</v>
      </c>
      <c r="B114" s="23">
        <v>70</v>
      </c>
      <c r="C114" s="41" t="s">
        <v>1617</v>
      </c>
      <c r="D114" s="42"/>
      <c r="E114" s="33">
        <f>290000-43263.8-5069.53</f>
        <v>241666.67</v>
      </c>
      <c r="F114" s="33">
        <f>202918+13401</f>
        <v>216319</v>
      </c>
      <c r="G114" s="27" t="s">
        <v>19</v>
      </c>
      <c r="H114" s="27" t="s">
        <v>19</v>
      </c>
      <c r="I114" s="26">
        <v>41745</v>
      </c>
      <c r="J114" s="28">
        <v>41768</v>
      </c>
      <c r="K114" s="42" t="s">
        <v>282</v>
      </c>
      <c r="L114" s="39">
        <v>6.4699999999999994E-2</v>
      </c>
      <c r="M114" s="31">
        <v>203190.21</v>
      </c>
      <c r="N114" s="32"/>
      <c r="O114" s="28">
        <v>41898</v>
      </c>
      <c r="P114" s="40">
        <v>150</v>
      </c>
      <c r="Q114" s="26">
        <v>41942</v>
      </c>
      <c r="R114" s="26" t="s">
        <v>283</v>
      </c>
      <c r="S114" s="26">
        <v>42074</v>
      </c>
      <c r="T114" s="26">
        <v>42083</v>
      </c>
    </row>
    <row r="115" spans="1:20" s="43" customFormat="1" ht="123.75" x14ac:dyDescent="0.25">
      <c r="A115" s="41" t="s">
        <v>29</v>
      </c>
      <c r="B115" s="23">
        <v>71</v>
      </c>
      <c r="C115" s="41" t="s">
        <v>284</v>
      </c>
      <c r="D115" s="42"/>
      <c r="E115" s="33">
        <v>246329.47</v>
      </c>
      <c r="F115" s="33">
        <v>171369.88</v>
      </c>
      <c r="G115" s="28" t="s">
        <v>285</v>
      </c>
      <c r="H115" s="26"/>
      <c r="I115" s="26"/>
      <c r="J115" s="28"/>
      <c r="K115" s="20" t="s">
        <v>164</v>
      </c>
      <c r="L115" s="39">
        <v>0.06</v>
      </c>
      <c r="M115" s="31">
        <v>161225.47</v>
      </c>
      <c r="N115" s="32"/>
      <c r="O115" s="28">
        <v>41898</v>
      </c>
      <c r="P115" s="40">
        <v>150</v>
      </c>
      <c r="Q115" s="26">
        <v>41900</v>
      </c>
      <c r="R115" s="26" t="s">
        <v>286</v>
      </c>
      <c r="S115" s="22">
        <v>42079</v>
      </c>
      <c r="T115" s="26">
        <v>42124</v>
      </c>
    </row>
    <row r="116" spans="1:20" s="43" customFormat="1" ht="78.75" x14ac:dyDescent="0.25">
      <c r="A116" s="41" t="s">
        <v>29</v>
      </c>
      <c r="B116" s="23">
        <v>72</v>
      </c>
      <c r="C116" s="41" t="s">
        <v>287</v>
      </c>
      <c r="D116" s="38"/>
      <c r="E116" s="60">
        <v>564891.88</v>
      </c>
      <c r="F116" s="144">
        <f>282556.74+2227.41</f>
        <v>284784.14999999997</v>
      </c>
      <c r="G116" s="27" t="s">
        <v>19</v>
      </c>
      <c r="H116" s="27" t="s">
        <v>19</v>
      </c>
      <c r="I116" s="29" t="s">
        <v>288</v>
      </c>
      <c r="J116" s="28">
        <v>41996</v>
      </c>
      <c r="K116" s="56" t="s">
        <v>289</v>
      </c>
      <c r="L116" s="39">
        <v>6.1600000000000002E-2</v>
      </c>
      <c r="M116" s="57">
        <v>267378.65999999997</v>
      </c>
      <c r="N116" s="58"/>
      <c r="O116" s="28">
        <v>42054</v>
      </c>
      <c r="P116" s="40">
        <v>150</v>
      </c>
      <c r="Q116" s="26">
        <v>42054</v>
      </c>
      <c r="R116" s="26" t="s">
        <v>290</v>
      </c>
      <c r="S116" s="26">
        <v>42314</v>
      </c>
      <c r="T116" s="26">
        <v>42432</v>
      </c>
    </row>
    <row r="117" spans="1:20" s="43" customFormat="1" ht="45" x14ac:dyDescent="0.25">
      <c r="A117" s="38" t="s">
        <v>21</v>
      </c>
      <c r="B117" s="23">
        <v>73</v>
      </c>
      <c r="C117" s="41" t="s">
        <v>291</v>
      </c>
      <c r="D117" s="38"/>
      <c r="E117" s="33">
        <v>806459.44</v>
      </c>
      <c r="F117" s="33">
        <f>495291.68+20401+69736.68</f>
        <v>585429.36</v>
      </c>
      <c r="G117" s="27" t="s">
        <v>19</v>
      </c>
      <c r="H117" s="27" t="s">
        <v>19</v>
      </c>
      <c r="I117" s="29" t="s">
        <v>292</v>
      </c>
      <c r="J117" s="28">
        <v>42079</v>
      </c>
      <c r="K117" s="56" t="s">
        <v>293</v>
      </c>
      <c r="L117" s="39">
        <v>0.11840000000000001</v>
      </c>
      <c r="M117" s="57">
        <v>519775.7</v>
      </c>
      <c r="N117" s="58"/>
      <c r="O117" s="59">
        <v>42627</v>
      </c>
      <c r="P117" s="40">
        <v>230</v>
      </c>
      <c r="Q117" s="26" t="s">
        <v>1531</v>
      </c>
      <c r="R117" s="26" t="s">
        <v>294</v>
      </c>
      <c r="S117" s="26">
        <v>43388</v>
      </c>
      <c r="T117" s="26">
        <v>43643</v>
      </c>
    </row>
    <row r="118" spans="1:20" s="43" customFormat="1" ht="78.75" x14ac:dyDescent="0.25">
      <c r="A118" s="38" t="s">
        <v>21</v>
      </c>
      <c r="B118" s="23">
        <v>74</v>
      </c>
      <c r="C118" s="41" t="s">
        <v>295</v>
      </c>
      <c r="D118" s="38"/>
      <c r="E118" s="3">
        <v>159928.87</v>
      </c>
      <c r="F118" s="33">
        <f>118790.71+2986.1</f>
        <v>121776.81000000001</v>
      </c>
      <c r="G118" s="27" t="s">
        <v>19</v>
      </c>
      <c r="H118" s="27" t="s">
        <v>19</v>
      </c>
      <c r="I118" s="29" t="s">
        <v>296</v>
      </c>
      <c r="J118" s="28">
        <v>42082</v>
      </c>
      <c r="K118" s="38" t="s">
        <v>297</v>
      </c>
      <c r="L118" s="39">
        <v>0.13189999999999999</v>
      </c>
      <c r="M118" s="31">
        <v>106108.32</v>
      </c>
      <c r="N118" s="32"/>
      <c r="O118" s="28">
        <v>42160</v>
      </c>
      <c r="P118" s="40">
        <v>150</v>
      </c>
      <c r="Q118" s="26">
        <v>42195</v>
      </c>
      <c r="R118" s="26">
        <v>42214</v>
      </c>
      <c r="S118" s="26">
        <v>42391</v>
      </c>
      <c r="T118" s="28">
        <v>42480</v>
      </c>
    </row>
    <row r="119" spans="1:20" s="43" customFormat="1" ht="67.5" x14ac:dyDescent="0.25">
      <c r="A119" s="38" t="s">
        <v>18</v>
      </c>
      <c r="B119" s="23">
        <v>75</v>
      </c>
      <c r="C119" s="41" t="s">
        <v>298</v>
      </c>
      <c r="D119" s="38"/>
      <c r="E119" s="3">
        <v>88154.45</v>
      </c>
      <c r="F119" s="33">
        <v>69654.45</v>
      </c>
      <c r="G119" s="27" t="s">
        <v>19</v>
      </c>
      <c r="H119" s="27" t="s">
        <v>19</v>
      </c>
      <c r="I119" s="29" t="s">
        <v>299</v>
      </c>
      <c r="J119" s="28" t="s">
        <v>300</v>
      </c>
      <c r="K119" s="38" t="s">
        <v>301</v>
      </c>
      <c r="L119" s="39">
        <v>7.8399999999999997E-2</v>
      </c>
      <c r="M119" s="31">
        <v>64511.82</v>
      </c>
      <c r="N119" s="32"/>
      <c r="O119" s="28">
        <v>42186</v>
      </c>
      <c r="P119" s="40">
        <v>90</v>
      </c>
      <c r="Q119" s="26">
        <v>42205</v>
      </c>
      <c r="R119" s="26" t="s">
        <v>302</v>
      </c>
      <c r="S119" s="26">
        <v>42326</v>
      </c>
      <c r="T119" s="26">
        <v>42415</v>
      </c>
    </row>
    <row r="120" spans="1:20" s="43" customFormat="1" ht="90" x14ac:dyDescent="0.25">
      <c r="A120" s="41" t="s">
        <v>18</v>
      </c>
      <c r="B120" s="23">
        <v>76</v>
      </c>
      <c r="C120" s="41" t="s">
        <v>303</v>
      </c>
      <c r="D120" s="38"/>
      <c r="E120" s="3">
        <v>565000</v>
      </c>
      <c r="F120" s="33">
        <f>382234.1+16078.83</f>
        <v>398312.93</v>
      </c>
      <c r="G120" s="27" t="s">
        <v>19</v>
      </c>
      <c r="H120" s="27" t="s">
        <v>19</v>
      </c>
      <c r="I120" s="29" t="s">
        <v>304</v>
      </c>
      <c r="J120" s="28">
        <v>42083</v>
      </c>
      <c r="K120" s="38" t="s">
        <v>305</v>
      </c>
      <c r="L120" s="39">
        <v>7.2599999999999998E-2</v>
      </c>
      <c r="M120" s="31">
        <v>370562.74</v>
      </c>
      <c r="N120" s="32"/>
      <c r="O120" s="28">
        <v>42137</v>
      </c>
      <c r="P120" s="40">
        <v>240</v>
      </c>
      <c r="Q120" s="26">
        <v>42150</v>
      </c>
      <c r="R120" s="26" t="s">
        <v>306</v>
      </c>
      <c r="S120" s="26" t="s">
        <v>307</v>
      </c>
      <c r="T120" s="26">
        <v>42531</v>
      </c>
    </row>
    <row r="121" spans="1:20" s="43" customFormat="1" ht="56.25" x14ac:dyDescent="0.25">
      <c r="A121" s="41" t="s">
        <v>29</v>
      </c>
      <c r="B121" s="23">
        <v>77</v>
      </c>
      <c r="C121" s="41" t="s">
        <v>308</v>
      </c>
      <c r="D121" s="38"/>
      <c r="E121" s="60">
        <v>315280</v>
      </c>
      <c r="F121" s="33">
        <f>142702.19+7277.81</f>
        <v>149980</v>
      </c>
      <c r="G121" s="27" t="s">
        <v>19</v>
      </c>
      <c r="H121" s="27" t="s">
        <v>19</v>
      </c>
      <c r="I121" s="29" t="s">
        <v>309</v>
      </c>
      <c r="J121" s="28">
        <v>42083</v>
      </c>
      <c r="K121" s="20" t="s">
        <v>1530</v>
      </c>
      <c r="L121" s="39">
        <v>0.21299999999999999</v>
      </c>
      <c r="M121" s="31">
        <v>119584.43</v>
      </c>
      <c r="N121" s="32"/>
      <c r="O121" s="28">
        <v>42135</v>
      </c>
      <c r="P121" s="40">
        <v>45</v>
      </c>
      <c r="Q121" s="26">
        <v>42152</v>
      </c>
      <c r="R121" s="26">
        <v>42152</v>
      </c>
      <c r="S121" s="26">
        <v>42517</v>
      </c>
      <c r="T121" s="26">
        <v>42629</v>
      </c>
    </row>
    <row r="122" spans="1:20" s="43" customFormat="1" ht="67.5" x14ac:dyDescent="0.25">
      <c r="A122" s="41" t="s">
        <v>18</v>
      </c>
      <c r="B122" s="23">
        <v>78</v>
      </c>
      <c r="C122" s="41" t="s">
        <v>310</v>
      </c>
      <c r="D122" s="38"/>
      <c r="E122" s="3">
        <v>115002.75</v>
      </c>
      <c r="F122" s="33">
        <v>100602.75</v>
      </c>
      <c r="G122" s="27" t="s">
        <v>19</v>
      </c>
      <c r="H122" s="27" t="s">
        <v>19</v>
      </c>
      <c r="I122" s="29" t="s">
        <v>311</v>
      </c>
      <c r="J122" s="28" t="s">
        <v>312</v>
      </c>
      <c r="K122" s="38" t="s">
        <v>313</v>
      </c>
      <c r="L122" s="39">
        <v>5.1400000000000001E-2</v>
      </c>
      <c r="M122" s="31">
        <v>95663.07</v>
      </c>
      <c r="N122" s="32"/>
      <c r="O122" s="28">
        <v>42172</v>
      </c>
      <c r="P122" s="40">
        <v>90</v>
      </c>
      <c r="Q122" s="26" t="s">
        <v>314</v>
      </c>
      <c r="R122" s="26"/>
      <c r="S122" s="26">
        <v>42335</v>
      </c>
      <c r="T122" s="26">
        <v>42359</v>
      </c>
    </row>
    <row r="123" spans="1:20" s="43" customFormat="1" ht="56.25" x14ac:dyDescent="0.25">
      <c r="A123" s="41" t="s">
        <v>18</v>
      </c>
      <c r="B123" s="23">
        <v>79</v>
      </c>
      <c r="C123" s="41" t="s">
        <v>315</v>
      </c>
      <c r="D123" s="42"/>
      <c r="E123" s="33">
        <v>189882.45</v>
      </c>
      <c r="F123" s="33">
        <f>142448.6+4870.61</f>
        <v>147319.21</v>
      </c>
      <c r="G123" s="27" t="s">
        <v>19</v>
      </c>
      <c r="H123" s="27" t="s">
        <v>19</v>
      </c>
      <c r="I123" s="29" t="s">
        <v>316</v>
      </c>
      <c r="J123" s="28" t="s">
        <v>317</v>
      </c>
      <c r="K123" s="38" t="s">
        <v>318</v>
      </c>
      <c r="L123" s="35">
        <v>3.576E-2</v>
      </c>
      <c r="M123" s="31">
        <v>142225.25</v>
      </c>
      <c r="N123" s="32"/>
      <c r="O123" s="28">
        <v>42179</v>
      </c>
      <c r="P123" s="40">
        <v>180</v>
      </c>
      <c r="Q123" s="26">
        <v>42277</v>
      </c>
      <c r="R123" s="26">
        <v>42277</v>
      </c>
      <c r="S123" s="26">
        <v>42661</v>
      </c>
      <c r="T123" s="26">
        <v>42711</v>
      </c>
    </row>
    <row r="124" spans="1:20" s="146" customFormat="1" ht="67.5" x14ac:dyDescent="0.25">
      <c r="A124" s="41" t="s">
        <v>29</v>
      </c>
      <c r="B124" s="23">
        <v>82</v>
      </c>
      <c r="C124" s="41" t="s">
        <v>319</v>
      </c>
      <c r="D124" s="145"/>
      <c r="E124" s="33">
        <v>649916.31000000006</v>
      </c>
      <c r="F124" s="33">
        <f>567430.49+22985.84</f>
        <v>590416.32999999996</v>
      </c>
      <c r="G124" s="27" t="s">
        <v>19</v>
      </c>
      <c r="H124" s="27" t="s">
        <v>19</v>
      </c>
      <c r="I124" s="29" t="s">
        <v>320</v>
      </c>
      <c r="J124" s="28" t="s">
        <v>321</v>
      </c>
      <c r="K124" s="20" t="s">
        <v>322</v>
      </c>
      <c r="L124" s="39">
        <v>0.155</v>
      </c>
      <c r="M124" s="31">
        <v>502464.6</v>
      </c>
      <c r="N124" s="32"/>
      <c r="O124" s="28">
        <v>42258</v>
      </c>
      <c r="P124" s="40">
        <v>365</v>
      </c>
      <c r="Q124" s="26" t="s">
        <v>323</v>
      </c>
      <c r="R124" s="26" t="s">
        <v>324</v>
      </c>
      <c r="S124" s="26">
        <v>43434</v>
      </c>
      <c r="T124" s="26">
        <v>43549</v>
      </c>
    </row>
    <row r="125" spans="1:20" s="43" customFormat="1" ht="90" x14ac:dyDescent="0.25">
      <c r="A125" s="41" t="s">
        <v>29</v>
      </c>
      <c r="B125" s="23">
        <v>83</v>
      </c>
      <c r="C125" s="41" t="s">
        <v>325</v>
      </c>
      <c r="D125" s="42"/>
      <c r="E125" s="147">
        <v>2064700</v>
      </c>
      <c r="F125" s="33">
        <f>1450000+28000</f>
        <v>1478000</v>
      </c>
      <c r="G125" s="26" t="s">
        <v>326</v>
      </c>
      <c r="H125" s="26" t="s">
        <v>327</v>
      </c>
      <c r="I125" s="29" t="s">
        <v>328</v>
      </c>
      <c r="J125" s="28" t="s">
        <v>329</v>
      </c>
      <c r="K125" s="20" t="s">
        <v>330</v>
      </c>
      <c r="L125" s="35">
        <v>0.2114</v>
      </c>
      <c r="M125" s="31">
        <v>1171470</v>
      </c>
      <c r="N125" s="32"/>
      <c r="O125" s="28">
        <v>42438</v>
      </c>
      <c r="P125" s="40">
        <v>365</v>
      </c>
      <c r="Q125" s="26">
        <v>42438</v>
      </c>
      <c r="R125" s="26" t="s">
        <v>331</v>
      </c>
      <c r="S125" s="26">
        <v>42894</v>
      </c>
      <c r="T125" s="26">
        <v>43082</v>
      </c>
    </row>
    <row r="126" spans="1:20" s="43" customFormat="1" ht="67.5" x14ac:dyDescent="0.25">
      <c r="A126" s="41" t="s">
        <v>29</v>
      </c>
      <c r="B126" s="53" t="s">
        <v>332</v>
      </c>
      <c r="C126" s="41" t="s">
        <v>333</v>
      </c>
      <c r="D126" s="42"/>
      <c r="E126" s="147"/>
      <c r="F126" s="33"/>
      <c r="G126" s="26"/>
      <c r="H126" s="26"/>
      <c r="I126" s="29"/>
      <c r="J126" s="28"/>
      <c r="K126" s="20"/>
      <c r="L126" s="35"/>
      <c r="M126" s="31">
        <f>1196868.68-M125</f>
        <v>25398.679999999935</v>
      </c>
      <c r="N126" s="32"/>
      <c r="O126" s="28"/>
      <c r="P126" s="40"/>
      <c r="Q126" s="26"/>
      <c r="R126" s="26"/>
      <c r="S126" s="26"/>
      <c r="T126" s="26"/>
    </row>
    <row r="127" spans="1:20" s="43" customFormat="1" ht="123.75" x14ac:dyDescent="0.25">
      <c r="A127" s="41" t="s">
        <v>29</v>
      </c>
      <c r="B127" s="23">
        <v>84</v>
      </c>
      <c r="C127" s="41" t="s">
        <v>1529</v>
      </c>
      <c r="D127" s="38"/>
      <c r="E127" s="33">
        <v>561279</v>
      </c>
      <c r="F127" s="33">
        <f>414472+16432</f>
        <v>430904</v>
      </c>
      <c r="G127" s="27" t="s">
        <v>19</v>
      </c>
      <c r="H127" s="27" t="s">
        <v>19</v>
      </c>
      <c r="I127" s="29" t="s">
        <v>334</v>
      </c>
      <c r="J127" s="28" t="s">
        <v>335</v>
      </c>
      <c r="K127" s="56" t="s">
        <v>336</v>
      </c>
      <c r="L127" s="35">
        <v>0.17124</v>
      </c>
      <c r="M127" s="61">
        <v>359929.81</v>
      </c>
      <c r="N127" s="32"/>
      <c r="O127" s="28">
        <v>42312</v>
      </c>
      <c r="P127" s="40">
        <v>365</v>
      </c>
      <c r="Q127" s="26" t="s">
        <v>337</v>
      </c>
      <c r="R127" s="26" t="s">
        <v>324</v>
      </c>
      <c r="S127" s="26">
        <v>42873</v>
      </c>
      <c r="T127" s="26">
        <v>42912</v>
      </c>
    </row>
    <row r="128" spans="1:20" s="43" customFormat="1" ht="101.25" x14ac:dyDescent="0.25">
      <c r="A128" s="41" t="s">
        <v>18</v>
      </c>
      <c r="B128" s="23">
        <v>85</v>
      </c>
      <c r="C128" s="41" t="s">
        <v>1528</v>
      </c>
      <c r="D128" s="38"/>
      <c r="E128" s="33">
        <v>217380.56</v>
      </c>
      <c r="F128" s="33">
        <f>199385.13+5165.86</f>
        <v>204550.99</v>
      </c>
      <c r="G128" s="27" t="s">
        <v>19</v>
      </c>
      <c r="H128" s="27" t="s">
        <v>19</v>
      </c>
      <c r="I128" s="29" t="s">
        <v>338</v>
      </c>
      <c r="J128" s="28" t="s">
        <v>335</v>
      </c>
      <c r="K128" s="38" t="s">
        <v>339</v>
      </c>
      <c r="L128" s="35">
        <v>0.1313</v>
      </c>
      <c r="M128" s="61">
        <v>178371.72</v>
      </c>
      <c r="N128" s="32"/>
      <c r="O128" s="28">
        <v>42312</v>
      </c>
      <c r="P128" s="40">
        <v>180</v>
      </c>
      <c r="Q128" s="26" t="s">
        <v>337</v>
      </c>
      <c r="R128" s="26" t="s">
        <v>324</v>
      </c>
      <c r="S128" s="26">
        <v>42635</v>
      </c>
      <c r="T128" s="26">
        <v>42699</v>
      </c>
    </row>
    <row r="129" spans="1:20" s="43" customFormat="1" ht="101.25" x14ac:dyDescent="0.25">
      <c r="A129" s="38" t="s">
        <v>18</v>
      </c>
      <c r="B129" s="23">
        <v>86</v>
      </c>
      <c r="C129" s="41" t="s">
        <v>340</v>
      </c>
      <c r="D129" s="38"/>
      <c r="E129" s="33">
        <v>270244.09000000003</v>
      </c>
      <c r="F129" s="33">
        <f>236106.43+11375.18</f>
        <v>247481.61</v>
      </c>
      <c r="G129" s="26" t="s">
        <v>341</v>
      </c>
      <c r="H129" s="27" t="s">
        <v>19</v>
      </c>
      <c r="I129" s="27" t="s">
        <v>19</v>
      </c>
      <c r="J129" s="28">
        <v>42324</v>
      </c>
      <c r="K129" s="38" t="s">
        <v>313</v>
      </c>
      <c r="L129" s="35">
        <v>0.18929000000000001</v>
      </c>
      <c r="M129" s="61">
        <v>202789.02</v>
      </c>
      <c r="N129" s="32"/>
      <c r="O129" s="28">
        <v>42383</v>
      </c>
      <c r="P129" s="40">
        <v>205</v>
      </c>
      <c r="Q129" s="26" t="s">
        <v>1527</v>
      </c>
      <c r="R129" s="26">
        <v>42530</v>
      </c>
      <c r="S129" s="26">
        <v>42671</v>
      </c>
      <c r="T129" s="26">
        <v>42716</v>
      </c>
    </row>
    <row r="130" spans="1:20" s="43" customFormat="1" ht="22.5" x14ac:dyDescent="0.25">
      <c r="A130" s="38" t="s">
        <v>18</v>
      </c>
      <c r="B130" s="53" t="s">
        <v>342</v>
      </c>
      <c r="C130" s="41" t="s">
        <v>343</v>
      </c>
      <c r="D130" s="38"/>
      <c r="E130" s="33"/>
      <c r="F130" s="33"/>
      <c r="G130" s="26"/>
      <c r="H130" s="27"/>
      <c r="I130" s="27"/>
      <c r="J130" s="28"/>
      <c r="K130" s="38"/>
      <c r="L130" s="35"/>
      <c r="M130" s="61">
        <v>31126.02</v>
      </c>
      <c r="N130" s="32"/>
      <c r="O130" s="28"/>
      <c r="P130" s="40"/>
      <c r="Q130" s="26"/>
      <c r="R130" s="26"/>
      <c r="S130" s="26"/>
      <c r="T130" s="26"/>
    </row>
    <row r="131" spans="1:20" s="43" customFormat="1" ht="112.5" x14ac:dyDescent="0.25">
      <c r="A131" s="41" t="s">
        <v>21</v>
      </c>
      <c r="B131" s="23">
        <v>88</v>
      </c>
      <c r="C131" s="41" t="s">
        <v>1525</v>
      </c>
      <c r="D131" s="38"/>
      <c r="E131" s="33">
        <v>420000</v>
      </c>
      <c r="F131" s="33">
        <f>196386.4+14778.4+112312.95+4295.22</f>
        <v>327772.96999999997</v>
      </c>
      <c r="G131" s="26" t="s">
        <v>344</v>
      </c>
      <c r="H131" s="29">
        <v>42461</v>
      </c>
      <c r="I131" s="62">
        <v>42465</v>
      </c>
      <c r="J131" s="28">
        <v>42500</v>
      </c>
      <c r="K131" s="63" t="s">
        <v>345</v>
      </c>
      <c r="L131" s="4">
        <v>0.2238</v>
      </c>
      <c r="M131" s="31">
        <v>256008.65</v>
      </c>
      <c r="N131" s="32"/>
      <c r="O131" s="26">
        <v>42677</v>
      </c>
      <c r="P131" s="40">
        <v>230</v>
      </c>
      <c r="Q131" s="26">
        <v>42716</v>
      </c>
      <c r="R131" s="26" t="s">
        <v>346</v>
      </c>
      <c r="S131" s="26">
        <v>43000</v>
      </c>
      <c r="T131" s="26">
        <v>43087</v>
      </c>
    </row>
    <row r="132" spans="1:20" s="43" customFormat="1" ht="101.25" x14ac:dyDescent="0.25">
      <c r="A132" s="41" t="s">
        <v>21</v>
      </c>
      <c r="B132" s="23">
        <v>89</v>
      </c>
      <c r="C132" s="41" t="s">
        <v>1526</v>
      </c>
      <c r="D132" s="42"/>
      <c r="E132" s="33">
        <v>301192</v>
      </c>
      <c r="F132" s="33">
        <f>161500+5500</f>
        <v>167000</v>
      </c>
      <c r="G132" s="26" t="s">
        <v>347</v>
      </c>
      <c r="H132" s="27" t="s">
        <v>19</v>
      </c>
      <c r="I132" s="27" t="s">
        <v>19</v>
      </c>
      <c r="J132" s="28">
        <v>42460</v>
      </c>
      <c r="K132" s="20" t="s">
        <v>348</v>
      </c>
      <c r="L132" s="35">
        <v>0.25311</v>
      </c>
      <c r="M132" s="31">
        <v>126122.73</v>
      </c>
      <c r="N132" s="32"/>
      <c r="O132" s="28">
        <v>42522</v>
      </c>
      <c r="P132" s="40">
        <v>180</v>
      </c>
      <c r="Q132" s="26">
        <v>42541</v>
      </c>
      <c r="R132" s="26">
        <v>42544</v>
      </c>
      <c r="S132" s="26">
        <v>42844</v>
      </c>
      <c r="T132" s="26">
        <v>42898</v>
      </c>
    </row>
    <row r="133" spans="1:20" s="43" customFormat="1" ht="112.5" x14ac:dyDescent="0.25">
      <c r="A133" s="41" t="s">
        <v>29</v>
      </c>
      <c r="B133" s="23">
        <v>90</v>
      </c>
      <c r="C133" s="41" t="s">
        <v>1524</v>
      </c>
      <c r="D133" s="42"/>
      <c r="E133" s="33">
        <v>219845.26</v>
      </c>
      <c r="F133" s="33">
        <f>162533.34+2670.6</f>
        <v>165203.94</v>
      </c>
      <c r="G133" s="26" t="s">
        <v>349</v>
      </c>
      <c r="H133" s="27" t="s">
        <v>19</v>
      </c>
      <c r="I133" s="27" t="s">
        <v>19</v>
      </c>
      <c r="J133" s="28">
        <v>42460</v>
      </c>
      <c r="K133" s="20" t="s">
        <v>350</v>
      </c>
      <c r="L133" s="35">
        <v>0.21937999999999999</v>
      </c>
      <c r="M133" s="31">
        <v>129547.38</v>
      </c>
      <c r="N133" s="32"/>
      <c r="O133" s="28">
        <v>42543</v>
      </c>
      <c r="P133" s="40">
        <v>150</v>
      </c>
      <c r="Q133" s="26">
        <v>42636</v>
      </c>
      <c r="R133" s="26" t="s">
        <v>351</v>
      </c>
      <c r="S133" s="26">
        <v>42807</v>
      </c>
      <c r="T133" s="26">
        <v>42899</v>
      </c>
    </row>
    <row r="134" spans="1:20" s="43" customFormat="1" ht="78.75" x14ac:dyDescent="0.25">
      <c r="A134" s="41" t="s">
        <v>21</v>
      </c>
      <c r="B134" s="23">
        <v>91</v>
      </c>
      <c r="C134" s="41" t="s">
        <v>1523</v>
      </c>
      <c r="D134" s="38"/>
      <c r="E134" s="33">
        <v>1553000</v>
      </c>
      <c r="F134" s="2">
        <v>1350000</v>
      </c>
      <c r="G134" s="26" t="s">
        <v>352</v>
      </c>
      <c r="H134" s="29">
        <v>42454</v>
      </c>
      <c r="I134" s="62">
        <v>42459</v>
      </c>
      <c r="J134" s="28">
        <v>42494</v>
      </c>
      <c r="K134" s="38" t="s">
        <v>353</v>
      </c>
      <c r="L134" s="39">
        <v>0.23469999999999999</v>
      </c>
      <c r="M134" s="61">
        <v>1052797.97</v>
      </c>
      <c r="N134" s="32"/>
      <c r="O134" s="28">
        <v>42697</v>
      </c>
      <c r="P134" s="40">
        <v>210</v>
      </c>
      <c r="Q134" s="26">
        <v>42718</v>
      </c>
      <c r="R134" s="26">
        <v>42723</v>
      </c>
      <c r="S134" s="26">
        <v>43297</v>
      </c>
      <c r="T134" s="26">
        <v>43641</v>
      </c>
    </row>
    <row r="135" spans="1:20" s="43" customFormat="1" ht="22.5" x14ac:dyDescent="0.25">
      <c r="A135" s="41" t="s">
        <v>21</v>
      </c>
      <c r="B135" s="53" t="s">
        <v>354</v>
      </c>
      <c r="C135" s="41" t="s">
        <v>355</v>
      </c>
      <c r="D135" s="38"/>
      <c r="E135" s="33"/>
      <c r="F135" s="2"/>
      <c r="G135" s="26"/>
      <c r="H135" s="29"/>
      <c r="I135" s="62"/>
      <c r="J135" s="28"/>
      <c r="K135" s="38"/>
      <c r="L135" s="39"/>
      <c r="M135" s="61">
        <v>55324.99</v>
      </c>
      <c r="N135" s="32"/>
      <c r="O135" s="28"/>
      <c r="P135" s="40"/>
      <c r="Q135" s="26"/>
      <c r="R135" s="26"/>
      <c r="S135" s="26"/>
      <c r="T135" s="26"/>
    </row>
    <row r="136" spans="1:20" s="43" customFormat="1" ht="78.75" x14ac:dyDescent="0.25">
      <c r="A136" s="41" t="s">
        <v>18</v>
      </c>
      <c r="B136" s="23">
        <v>92</v>
      </c>
      <c r="C136" s="41" t="s">
        <v>356</v>
      </c>
      <c r="D136" s="38"/>
      <c r="E136" s="33">
        <v>583647.87</v>
      </c>
      <c r="F136" s="33">
        <f>427350+35570</f>
        <v>462920</v>
      </c>
      <c r="G136" s="26" t="s">
        <v>357</v>
      </c>
      <c r="H136" s="29">
        <v>42467</v>
      </c>
      <c r="I136" s="41" t="s">
        <v>358</v>
      </c>
      <c r="J136" s="28">
        <v>42508</v>
      </c>
      <c r="K136" s="63" t="s">
        <v>359</v>
      </c>
      <c r="L136" s="39">
        <v>0.1202</v>
      </c>
      <c r="M136" s="31">
        <v>411552.53</v>
      </c>
      <c r="N136" s="32"/>
      <c r="O136" s="28">
        <v>42654</v>
      </c>
      <c r="P136" s="40">
        <v>210</v>
      </c>
      <c r="Q136" s="26">
        <v>42682</v>
      </c>
      <c r="R136" s="26"/>
      <c r="S136" s="26">
        <v>43137</v>
      </c>
      <c r="T136" s="26">
        <v>43189</v>
      </c>
    </row>
    <row r="137" spans="1:20" s="43" customFormat="1" ht="78.75" x14ac:dyDescent="0.25">
      <c r="A137" s="41" t="s">
        <v>21</v>
      </c>
      <c r="B137" s="23">
        <v>93</v>
      </c>
      <c r="C137" s="41" t="s">
        <v>1618</v>
      </c>
      <c r="D137" s="38" t="s">
        <v>360</v>
      </c>
      <c r="E137" s="33">
        <v>2189300</v>
      </c>
      <c r="F137" s="2">
        <f>1990513.5+9486.5</f>
        <v>2000000</v>
      </c>
      <c r="G137" s="26" t="s">
        <v>361</v>
      </c>
      <c r="H137" s="27" t="s">
        <v>19</v>
      </c>
      <c r="I137" s="27" t="s">
        <v>19</v>
      </c>
      <c r="J137" s="28">
        <v>42748</v>
      </c>
      <c r="K137" s="63" t="s">
        <v>362</v>
      </c>
      <c r="L137" s="39">
        <v>0.20330000000000001</v>
      </c>
      <c r="M137" s="31">
        <v>1595328.61</v>
      </c>
      <c r="N137" s="32"/>
      <c r="O137" s="26" t="s">
        <v>1619</v>
      </c>
      <c r="P137" s="40" t="s">
        <v>363</v>
      </c>
      <c r="Q137" s="26" t="s">
        <v>364</v>
      </c>
      <c r="R137" s="26" t="s">
        <v>365</v>
      </c>
      <c r="S137" s="26">
        <v>43389</v>
      </c>
      <c r="T137" s="26">
        <v>43637</v>
      </c>
    </row>
    <row r="138" spans="1:20" s="43" customFormat="1" ht="33.75" x14ac:dyDescent="0.25">
      <c r="A138" s="41" t="s">
        <v>21</v>
      </c>
      <c r="B138" s="53" t="s">
        <v>366</v>
      </c>
      <c r="C138" s="41" t="s">
        <v>367</v>
      </c>
      <c r="D138" s="38"/>
      <c r="E138" s="33"/>
      <c r="F138" s="2"/>
      <c r="G138" s="26"/>
      <c r="H138" s="27"/>
      <c r="I138" s="27"/>
      <c r="J138" s="28"/>
      <c r="K138" s="63"/>
      <c r="L138" s="39"/>
      <c r="M138" s="31">
        <v>90863.64</v>
      </c>
      <c r="N138" s="32"/>
      <c r="O138" s="26"/>
      <c r="P138" s="40"/>
      <c r="Q138" s="26"/>
      <c r="R138" s="26"/>
      <c r="S138" s="26"/>
      <c r="T138" s="26"/>
    </row>
    <row r="139" spans="1:20" s="43" customFormat="1" ht="67.5" x14ac:dyDescent="0.25">
      <c r="A139" s="38" t="s">
        <v>29</v>
      </c>
      <c r="B139" s="23">
        <v>94</v>
      </c>
      <c r="C139" s="41" t="s">
        <v>1522</v>
      </c>
      <c r="D139" s="38" t="s">
        <v>368</v>
      </c>
      <c r="E139" s="3">
        <v>133384.68</v>
      </c>
      <c r="F139" s="2">
        <f>120525.5+1745.62</f>
        <v>122271.12</v>
      </c>
      <c r="G139" s="27" t="s">
        <v>19</v>
      </c>
      <c r="H139" s="27" t="s">
        <v>19</v>
      </c>
      <c r="I139" s="29" t="s">
        <v>369</v>
      </c>
      <c r="J139" s="28">
        <v>42747</v>
      </c>
      <c r="K139" s="20" t="s">
        <v>370</v>
      </c>
      <c r="L139" s="39">
        <v>0.125</v>
      </c>
      <c r="M139" s="31">
        <v>107205.43</v>
      </c>
      <c r="N139" s="32"/>
      <c r="O139" s="28">
        <v>42823</v>
      </c>
      <c r="P139" s="40">
        <v>90</v>
      </c>
      <c r="Q139" s="26">
        <v>42835</v>
      </c>
      <c r="R139" s="26">
        <v>42835</v>
      </c>
      <c r="S139" s="26">
        <v>43042</v>
      </c>
      <c r="T139" s="26">
        <v>43062</v>
      </c>
    </row>
    <row r="140" spans="1:20" s="43" customFormat="1" ht="67.5" x14ac:dyDescent="0.25">
      <c r="A140" s="41" t="s">
        <v>21</v>
      </c>
      <c r="B140" s="23">
        <v>95</v>
      </c>
      <c r="C140" s="41" t="s">
        <v>1620</v>
      </c>
      <c r="D140" s="38" t="s">
        <v>371</v>
      </c>
      <c r="E140" s="33">
        <v>179400</v>
      </c>
      <c r="F140" s="2">
        <f>128459.76+11540.24</f>
        <v>140000</v>
      </c>
      <c r="G140" s="26" t="s">
        <v>372</v>
      </c>
      <c r="H140" s="27" t="s">
        <v>19</v>
      </c>
      <c r="I140" s="27" t="s">
        <v>19</v>
      </c>
      <c r="J140" s="28">
        <v>42762</v>
      </c>
      <c r="K140" s="38" t="s">
        <v>373</v>
      </c>
      <c r="L140" s="1">
        <v>0.14581</v>
      </c>
      <c r="M140" s="31">
        <v>121269.28</v>
      </c>
      <c r="N140" s="32"/>
      <c r="O140" s="28">
        <v>42823</v>
      </c>
      <c r="P140" s="40">
        <v>60</v>
      </c>
      <c r="Q140" s="26">
        <v>42863</v>
      </c>
      <c r="R140" s="26">
        <v>42863</v>
      </c>
      <c r="S140" s="26">
        <v>43335</v>
      </c>
      <c r="T140" s="26">
        <v>43425</v>
      </c>
    </row>
    <row r="141" spans="1:20" s="43" customFormat="1" ht="56.25" x14ac:dyDescent="0.25">
      <c r="A141" s="41" t="s">
        <v>18</v>
      </c>
      <c r="B141" s="23">
        <v>96</v>
      </c>
      <c r="C141" s="41" t="s">
        <v>374</v>
      </c>
      <c r="D141" s="38" t="s">
        <v>375</v>
      </c>
      <c r="E141" s="33">
        <v>145000</v>
      </c>
      <c r="F141" s="2">
        <f>137207.1+4627.74</f>
        <v>141834.84</v>
      </c>
      <c r="G141" s="27" t="s">
        <v>19</v>
      </c>
      <c r="H141" s="27" t="s">
        <v>19</v>
      </c>
      <c r="I141" s="29" t="s">
        <v>376</v>
      </c>
      <c r="J141" s="28">
        <v>42783</v>
      </c>
      <c r="K141" s="38" t="s">
        <v>377</v>
      </c>
      <c r="L141" s="39">
        <v>0.26</v>
      </c>
      <c r="M141" s="31">
        <v>106160.99</v>
      </c>
      <c r="N141" s="32"/>
      <c r="O141" s="28">
        <v>42881</v>
      </c>
      <c r="P141" s="40">
        <v>140</v>
      </c>
      <c r="Q141" s="26" t="s">
        <v>378</v>
      </c>
      <c r="R141" s="26" t="s">
        <v>379</v>
      </c>
      <c r="S141" s="26">
        <v>43103</v>
      </c>
      <c r="T141" s="26">
        <v>43150</v>
      </c>
    </row>
    <row r="142" spans="1:20" s="43" customFormat="1" ht="22.5" x14ac:dyDescent="0.25">
      <c r="A142" s="41" t="s">
        <v>18</v>
      </c>
      <c r="B142" s="53" t="s">
        <v>380</v>
      </c>
      <c r="C142" s="41" t="s">
        <v>381</v>
      </c>
      <c r="D142" s="38"/>
      <c r="E142" s="33"/>
      <c r="F142" s="2"/>
      <c r="G142" s="27"/>
      <c r="H142" s="27"/>
      <c r="I142" s="29"/>
      <c r="J142" s="28"/>
      <c r="K142" s="38"/>
      <c r="L142" s="39"/>
      <c r="M142" s="31">
        <v>14921.09</v>
      </c>
      <c r="N142" s="32"/>
      <c r="O142" s="28"/>
      <c r="P142" s="40"/>
      <c r="Q142" s="26"/>
      <c r="R142" s="26"/>
      <c r="S142" s="28"/>
      <c r="T142" s="28"/>
    </row>
    <row r="143" spans="1:20" s="43" customFormat="1" ht="78.75" x14ac:dyDescent="0.25">
      <c r="A143" s="41" t="s">
        <v>18</v>
      </c>
      <c r="B143" s="23">
        <v>97</v>
      </c>
      <c r="C143" s="41" t="s">
        <v>382</v>
      </c>
      <c r="D143" s="42" t="s">
        <v>383</v>
      </c>
      <c r="E143" s="33">
        <v>724704.6</v>
      </c>
      <c r="F143" s="33">
        <f>621009.73+25194.87</f>
        <v>646204.6</v>
      </c>
      <c r="G143" s="26" t="s">
        <v>384</v>
      </c>
      <c r="H143" s="27" t="s">
        <v>19</v>
      </c>
      <c r="I143" s="27" t="s">
        <v>19</v>
      </c>
      <c r="J143" s="28">
        <v>42802</v>
      </c>
      <c r="K143" s="38" t="s">
        <v>359</v>
      </c>
      <c r="L143" s="64">
        <v>0.22850000000000001</v>
      </c>
      <c r="M143" s="31">
        <v>504303.88</v>
      </c>
      <c r="N143" s="32"/>
      <c r="O143" s="26">
        <v>43025</v>
      </c>
      <c r="P143" s="40" t="s">
        <v>385</v>
      </c>
      <c r="Q143" s="28">
        <v>43129</v>
      </c>
      <c r="R143" s="26" t="s">
        <v>386</v>
      </c>
      <c r="S143" s="26">
        <v>43546</v>
      </c>
      <c r="T143" s="26">
        <v>43588</v>
      </c>
    </row>
    <row r="144" spans="1:20" s="43" customFormat="1" ht="67.5" x14ac:dyDescent="0.25">
      <c r="A144" s="41" t="s">
        <v>29</v>
      </c>
      <c r="B144" s="23">
        <v>98</v>
      </c>
      <c r="C144" s="41" t="s">
        <v>387</v>
      </c>
      <c r="D144" s="38" t="s">
        <v>388</v>
      </c>
      <c r="E144" s="33">
        <v>315345</v>
      </c>
      <c r="F144" s="33">
        <f>261960.36+10852.98</f>
        <v>272813.33999999997</v>
      </c>
      <c r="G144" s="26" t="s">
        <v>389</v>
      </c>
      <c r="H144" s="27" t="s">
        <v>19</v>
      </c>
      <c r="I144" s="27" t="s">
        <v>19</v>
      </c>
      <c r="J144" s="28">
        <v>42804</v>
      </c>
      <c r="K144" s="63" t="s">
        <v>390</v>
      </c>
      <c r="L144" s="35">
        <v>0.24812000000000001</v>
      </c>
      <c r="M144" s="31">
        <v>207815.74</v>
      </c>
      <c r="N144" s="32"/>
      <c r="O144" s="26" t="s">
        <v>1621</v>
      </c>
      <c r="P144" s="40">
        <v>90</v>
      </c>
      <c r="Q144" s="26">
        <v>42906</v>
      </c>
      <c r="R144" s="26" t="s">
        <v>391</v>
      </c>
      <c r="S144" s="26">
        <v>43283</v>
      </c>
      <c r="T144" s="26"/>
    </row>
    <row r="145" spans="1:20" s="43" customFormat="1" ht="22.5" x14ac:dyDescent="0.25">
      <c r="A145" s="41" t="s">
        <v>29</v>
      </c>
      <c r="B145" s="53" t="s">
        <v>392</v>
      </c>
      <c r="C145" s="41" t="s">
        <v>393</v>
      </c>
      <c r="D145" s="38"/>
      <c r="E145" s="33"/>
      <c r="F145" s="33"/>
      <c r="G145" s="26"/>
      <c r="H145" s="27"/>
      <c r="I145" s="27"/>
      <c r="J145" s="28"/>
      <c r="K145" s="63"/>
      <c r="L145" s="35"/>
      <c r="M145" s="31">
        <f>267111.91-207815.74</f>
        <v>59296.169999999984</v>
      </c>
      <c r="N145" s="32"/>
      <c r="O145" s="26"/>
      <c r="P145" s="40"/>
      <c r="Q145" s="26"/>
      <c r="R145" s="26"/>
      <c r="S145" s="26"/>
      <c r="T145" s="26"/>
    </row>
    <row r="146" spans="1:20" s="43" customFormat="1" ht="67.5" x14ac:dyDescent="0.25">
      <c r="A146" s="41" t="s">
        <v>394</v>
      </c>
      <c r="B146" s="23">
        <v>99</v>
      </c>
      <c r="C146" s="41" t="s">
        <v>1521</v>
      </c>
      <c r="D146" s="38" t="s">
        <v>395</v>
      </c>
      <c r="E146" s="33">
        <v>206360.66</v>
      </c>
      <c r="F146" s="2">
        <f>180845.35+938.38</f>
        <v>181783.73</v>
      </c>
      <c r="G146" s="27" t="s">
        <v>19</v>
      </c>
      <c r="H146" s="27" t="s">
        <v>19</v>
      </c>
      <c r="I146" s="29" t="s">
        <v>396</v>
      </c>
      <c r="J146" s="28">
        <v>42810</v>
      </c>
      <c r="K146" s="65" t="s">
        <v>397</v>
      </c>
      <c r="L146" s="39">
        <v>0.30819999999999997</v>
      </c>
      <c r="M146" s="31">
        <v>126047.19</v>
      </c>
      <c r="N146" s="32"/>
      <c r="O146" s="26">
        <v>42922</v>
      </c>
      <c r="P146" s="40">
        <v>60</v>
      </c>
      <c r="Q146" s="26" t="s">
        <v>398</v>
      </c>
      <c r="R146" s="26" t="s">
        <v>399</v>
      </c>
      <c r="S146" s="26">
        <v>43096</v>
      </c>
      <c r="T146" s="26"/>
    </row>
    <row r="147" spans="1:20" s="43" customFormat="1" ht="67.5" x14ac:dyDescent="0.25">
      <c r="A147" s="41" t="s">
        <v>18</v>
      </c>
      <c r="B147" s="23">
        <v>100</v>
      </c>
      <c r="C147" s="41" t="s">
        <v>1520</v>
      </c>
      <c r="D147" s="38" t="s">
        <v>400</v>
      </c>
      <c r="E147" s="33">
        <v>197273.11</v>
      </c>
      <c r="F147" s="2">
        <f>153610+18482.61</f>
        <v>172092.61</v>
      </c>
      <c r="G147" s="26" t="s">
        <v>401</v>
      </c>
      <c r="H147" s="27" t="s">
        <v>19</v>
      </c>
      <c r="I147" s="27" t="s">
        <v>19</v>
      </c>
      <c r="J147" s="28">
        <v>42822</v>
      </c>
      <c r="K147" s="63" t="s">
        <v>402</v>
      </c>
      <c r="L147" s="39">
        <v>0.47010000000000002</v>
      </c>
      <c r="M147" s="31">
        <v>99880.55</v>
      </c>
      <c r="N147" s="32"/>
      <c r="O147" s="26">
        <v>42936</v>
      </c>
      <c r="P147" s="40">
        <v>160</v>
      </c>
      <c r="Q147" s="26">
        <v>42972</v>
      </c>
      <c r="R147" s="26">
        <v>42975</v>
      </c>
      <c r="S147" s="26">
        <v>43263</v>
      </c>
      <c r="T147" s="26">
        <v>43334</v>
      </c>
    </row>
    <row r="148" spans="1:20" s="43" customFormat="1" ht="67.5" x14ac:dyDescent="0.25">
      <c r="A148" s="41" t="s">
        <v>29</v>
      </c>
      <c r="B148" s="23">
        <v>101</v>
      </c>
      <c r="C148" s="41" t="s">
        <v>1519</v>
      </c>
      <c r="D148" s="38" t="s">
        <v>403</v>
      </c>
      <c r="E148" s="33">
        <v>157223.95000000001</v>
      </c>
      <c r="F148" s="2">
        <f>117151.97+2712.8</f>
        <v>119864.77</v>
      </c>
      <c r="G148" s="26" t="s">
        <v>404</v>
      </c>
      <c r="H148" s="27" t="s">
        <v>19</v>
      </c>
      <c r="I148" s="27" t="s">
        <v>19</v>
      </c>
      <c r="J148" s="28">
        <v>42837</v>
      </c>
      <c r="K148" s="63" t="s">
        <v>402</v>
      </c>
      <c r="L148" s="35">
        <v>0.51783999999999997</v>
      </c>
      <c r="M148" s="31">
        <v>59198.79</v>
      </c>
      <c r="N148" s="32"/>
      <c r="O148" s="26">
        <v>42947</v>
      </c>
      <c r="P148" s="40">
        <v>150</v>
      </c>
      <c r="Q148" s="26">
        <v>42991</v>
      </c>
      <c r="R148" s="26" t="s">
        <v>405</v>
      </c>
      <c r="S148" s="26">
        <v>43241</v>
      </c>
      <c r="T148" s="26">
        <v>43276</v>
      </c>
    </row>
    <row r="149" spans="1:20" s="43" customFormat="1" ht="112.5" x14ac:dyDescent="0.25">
      <c r="A149" s="41" t="s">
        <v>29</v>
      </c>
      <c r="B149" s="23">
        <v>102</v>
      </c>
      <c r="C149" s="41" t="s">
        <v>1622</v>
      </c>
      <c r="D149" s="38" t="s">
        <v>406</v>
      </c>
      <c r="E149" s="33">
        <v>445750</v>
      </c>
      <c r="F149" s="33">
        <f>404500+11250</f>
        <v>415750</v>
      </c>
      <c r="G149" s="27" t="s">
        <v>19</v>
      </c>
      <c r="H149" s="27" t="s">
        <v>19</v>
      </c>
      <c r="I149" s="29" t="s">
        <v>407</v>
      </c>
      <c r="J149" s="28">
        <v>42852</v>
      </c>
      <c r="K149" s="63" t="s">
        <v>408</v>
      </c>
      <c r="L149" s="35">
        <v>0.18756999999999999</v>
      </c>
      <c r="M149" s="31">
        <v>339877.94</v>
      </c>
      <c r="N149" s="32"/>
      <c r="O149" s="26">
        <v>42937</v>
      </c>
      <c r="P149" s="40">
        <v>124</v>
      </c>
      <c r="Q149" s="26">
        <v>43014</v>
      </c>
      <c r="R149" s="26" t="s">
        <v>409</v>
      </c>
      <c r="S149" s="26"/>
      <c r="T149" s="26"/>
    </row>
    <row r="150" spans="1:20" s="43" customFormat="1" ht="22.5" x14ac:dyDescent="0.25">
      <c r="A150" s="41" t="s">
        <v>29</v>
      </c>
      <c r="B150" s="53" t="s">
        <v>410</v>
      </c>
      <c r="C150" s="41" t="s">
        <v>411</v>
      </c>
      <c r="D150" s="38"/>
      <c r="E150" s="33"/>
      <c r="F150" s="33"/>
      <c r="G150" s="27"/>
      <c r="H150" s="27"/>
      <c r="I150" s="29"/>
      <c r="J150" s="28"/>
      <c r="K150" s="63"/>
      <c r="L150" s="35"/>
      <c r="M150" s="31">
        <v>14380.01</v>
      </c>
      <c r="N150" s="32"/>
      <c r="O150" s="26"/>
      <c r="P150" s="40"/>
      <c r="Q150" s="26"/>
      <c r="R150" s="26"/>
      <c r="S150" s="26"/>
      <c r="T150" s="26"/>
    </row>
    <row r="151" spans="1:20" s="43" customFormat="1" ht="101.25" x14ac:dyDescent="0.25">
      <c r="A151" s="41" t="s">
        <v>29</v>
      </c>
      <c r="B151" s="23">
        <v>103</v>
      </c>
      <c r="C151" s="41" t="s">
        <v>412</v>
      </c>
      <c r="D151" s="38" t="s">
        <v>413</v>
      </c>
      <c r="E151" s="33">
        <v>143844.4</v>
      </c>
      <c r="F151" s="2">
        <f>113043.08+7201.32</f>
        <v>120244.4</v>
      </c>
      <c r="G151" s="26" t="s">
        <v>414</v>
      </c>
      <c r="H151" s="27" t="s">
        <v>19</v>
      </c>
      <c r="I151" s="27" t="s">
        <v>19</v>
      </c>
      <c r="J151" s="28">
        <v>42872</v>
      </c>
      <c r="K151" s="20" t="s">
        <v>415</v>
      </c>
      <c r="L151" s="35">
        <v>0.42423</v>
      </c>
      <c r="M151" s="31">
        <v>72288.13</v>
      </c>
      <c r="N151" s="32"/>
      <c r="O151" s="26" t="s">
        <v>1623</v>
      </c>
      <c r="P151" s="40">
        <v>90</v>
      </c>
      <c r="Q151" s="26">
        <v>43087</v>
      </c>
      <c r="R151" s="26" t="s">
        <v>416</v>
      </c>
      <c r="S151" s="26">
        <v>43378</v>
      </c>
      <c r="T151" s="26">
        <v>43468</v>
      </c>
    </row>
    <row r="152" spans="1:20" s="43" customFormat="1" ht="22.5" x14ac:dyDescent="0.25">
      <c r="A152" s="41" t="s">
        <v>29</v>
      </c>
      <c r="B152" s="53" t="s">
        <v>417</v>
      </c>
      <c r="C152" s="41" t="s">
        <v>418</v>
      </c>
      <c r="D152" s="38"/>
      <c r="E152" s="33"/>
      <c r="F152" s="33"/>
      <c r="G152" s="26"/>
      <c r="H152" s="27"/>
      <c r="I152" s="27"/>
      <c r="J152" s="28"/>
      <c r="K152" s="63"/>
      <c r="L152" s="35"/>
      <c r="M152" s="31">
        <v>10516.24</v>
      </c>
      <c r="N152" s="32"/>
      <c r="O152" s="26"/>
      <c r="P152" s="40"/>
      <c r="Q152" s="26"/>
      <c r="R152" s="26"/>
      <c r="S152" s="26"/>
      <c r="T152" s="26"/>
    </row>
    <row r="153" spans="1:20" s="43" customFormat="1" ht="90" x14ac:dyDescent="0.25">
      <c r="A153" s="41" t="s">
        <v>21</v>
      </c>
      <c r="B153" s="23">
        <v>104</v>
      </c>
      <c r="C153" s="41" t="s">
        <v>1518</v>
      </c>
      <c r="D153" s="38" t="s">
        <v>419</v>
      </c>
      <c r="E153" s="33">
        <v>525328.48</v>
      </c>
      <c r="F153" s="2">
        <f>414962.64+80501.9</f>
        <v>495464.54000000004</v>
      </c>
      <c r="G153" s="26" t="s">
        <v>420</v>
      </c>
      <c r="H153" s="27" t="s">
        <v>19</v>
      </c>
      <c r="I153" s="27" t="s">
        <v>19</v>
      </c>
      <c r="J153" s="28">
        <v>42880</v>
      </c>
      <c r="K153" s="38" t="s">
        <v>421</v>
      </c>
      <c r="L153" s="35">
        <v>0.25520999999999999</v>
      </c>
      <c r="M153" s="31">
        <v>389561.92</v>
      </c>
      <c r="N153" s="32"/>
      <c r="O153" s="26">
        <v>42997</v>
      </c>
      <c r="P153" s="40">
        <v>210</v>
      </c>
      <c r="Q153" s="26">
        <v>43028</v>
      </c>
      <c r="R153" s="26">
        <v>43032</v>
      </c>
      <c r="S153" s="26">
        <v>43398</v>
      </c>
      <c r="T153" s="26">
        <v>43641</v>
      </c>
    </row>
    <row r="154" spans="1:20" s="43" customFormat="1" ht="78.75" x14ac:dyDescent="0.25">
      <c r="A154" s="41" t="s">
        <v>21</v>
      </c>
      <c r="B154" s="23">
        <v>105</v>
      </c>
      <c r="C154" s="41" t="s">
        <v>422</v>
      </c>
      <c r="D154" s="38" t="s">
        <v>423</v>
      </c>
      <c r="E154" s="33">
        <v>494200</v>
      </c>
      <c r="F154" s="2">
        <f>372483+42517</f>
        <v>415000</v>
      </c>
      <c r="G154" s="26" t="s">
        <v>424</v>
      </c>
      <c r="H154" s="27" t="s">
        <v>19</v>
      </c>
      <c r="I154" s="27" t="s">
        <v>19</v>
      </c>
      <c r="J154" s="28">
        <v>42929</v>
      </c>
      <c r="K154" s="38" t="s">
        <v>425</v>
      </c>
      <c r="L154" s="35">
        <v>0.26821</v>
      </c>
      <c r="M154" s="31">
        <v>315096.33</v>
      </c>
      <c r="N154" s="32"/>
      <c r="O154" s="26">
        <v>43020</v>
      </c>
      <c r="P154" s="40">
        <v>120</v>
      </c>
      <c r="Q154" s="26" t="s">
        <v>426</v>
      </c>
      <c r="R154" s="26" t="s">
        <v>427</v>
      </c>
      <c r="S154" s="26">
        <v>43389</v>
      </c>
      <c r="T154" s="26">
        <v>43521</v>
      </c>
    </row>
    <row r="155" spans="1:20" s="43" customFormat="1" ht="78.75" x14ac:dyDescent="0.25">
      <c r="A155" s="41" t="s">
        <v>21</v>
      </c>
      <c r="B155" s="23">
        <v>106</v>
      </c>
      <c r="C155" s="41" t="s">
        <v>1517</v>
      </c>
      <c r="D155" s="38" t="s">
        <v>428</v>
      </c>
      <c r="E155" s="33">
        <v>262295.08</v>
      </c>
      <c r="F155" s="2">
        <f>240421.88+11907.01</f>
        <v>252328.89</v>
      </c>
      <c r="G155" s="26" t="s">
        <v>429</v>
      </c>
      <c r="H155" s="27" t="s">
        <v>19</v>
      </c>
      <c r="I155" s="27" t="s">
        <v>19</v>
      </c>
      <c r="J155" s="28">
        <v>42941</v>
      </c>
      <c r="K155" s="38" t="s">
        <v>430</v>
      </c>
      <c r="L155" s="35">
        <v>0.20995</v>
      </c>
      <c r="M155" s="31">
        <v>201852.32</v>
      </c>
      <c r="N155" s="32"/>
      <c r="O155" s="26" t="s">
        <v>1624</v>
      </c>
      <c r="P155" s="40">
        <v>273</v>
      </c>
      <c r="Q155" s="26">
        <v>43048</v>
      </c>
      <c r="R155" s="26" t="s">
        <v>431</v>
      </c>
      <c r="S155" s="26">
        <v>43439</v>
      </c>
      <c r="T155" s="26"/>
    </row>
    <row r="156" spans="1:20" s="43" customFormat="1" ht="33.75" x14ac:dyDescent="0.25">
      <c r="A156" s="41" t="s">
        <v>21</v>
      </c>
      <c r="B156" s="53" t="s">
        <v>432</v>
      </c>
      <c r="C156" s="41" t="s">
        <v>433</v>
      </c>
      <c r="D156" s="38"/>
      <c r="E156" s="33"/>
      <c r="F156" s="2"/>
      <c r="G156" s="26"/>
      <c r="H156" s="27"/>
      <c r="I156" s="27"/>
      <c r="J156" s="28"/>
      <c r="K156" s="38"/>
      <c r="L156" s="35"/>
      <c r="M156" s="31">
        <v>6000.96</v>
      </c>
      <c r="N156" s="32"/>
      <c r="O156" s="26"/>
      <c r="P156" s="40"/>
      <c r="Q156" s="26"/>
      <c r="R156" s="26"/>
      <c r="S156" s="26"/>
      <c r="T156" s="26"/>
    </row>
    <row r="157" spans="1:20" s="43" customFormat="1" ht="90" x14ac:dyDescent="0.25">
      <c r="A157" s="41" t="s">
        <v>29</v>
      </c>
      <c r="B157" s="23">
        <v>107</v>
      </c>
      <c r="C157" s="41" t="s">
        <v>1516</v>
      </c>
      <c r="D157" s="38" t="s">
        <v>434</v>
      </c>
      <c r="E157" s="33">
        <v>675000</v>
      </c>
      <c r="F157" s="33">
        <f>645354.91+14906.4</f>
        <v>660261.31000000006</v>
      </c>
      <c r="G157" s="26" t="s">
        <v>435</v>
      </c>
      <c r="H157" s="27" t="s">
        <v>19</v>
      </c>
      <c r="I157" s="27" t="s">
        <v>19</v>
      </c>
      <c r="J157" s="28">
        <v>42957</v>
      </c>
      <c r="K157" s="38" t="s">
        <v>436</v>
      </c>
      <c r="L157" s="39">
        <v>0.23219999999999999</v>
      </c>
      <c r="M157" s="31">
        <v>510409.9</v>
      </c>
      <c r="N157" s="32">
        <v>43032</v>
      </c>
      <c r="O157" s="28">
        <v>43087</v>
      </c>
      <c r="P157" s="40" t="s">
        <v>437</v>
      </c>
      <c r="Q157" s="26">
        <v>43367</v>
      </c>
      <c r="R157" s="26" t="s">
        <v>438</v>
      </c>
      <c r="S157" s="26">
        <v>43976</v>
      </c>
      <c r="T157" s="26">
        <v>44036</v>
      </c>
    </row>
    <row r="158" spans="1:20" s="43" customFormat="1" ht="22.5" x14ac:dyDescent="0.25">
      <c r="A158" s="41" t="s">
        <v>29</v>
      </c>
      <c r="B158" s="53" t="s">
        <v>439</v>
      </c>
      <c r="C158" s="41" t="s">
        <v>440</v>
      </c>
      <c r="D158" s="38"/>
      <c r="E158" s="33"/>
      <c r="F158" s="33"/>
      <c r="G158" s="26"/>
      <c r="H158" s="27"/>
      <c r="I158" s="27"/>
      <c r="J158" s="28"/>
      <c r="K158" s="38"/>
      <c r="L158" s="39"/>
      <c r="M158" s="31">
        <v>119494.68</v>
      </c>
      <c r="N158" s="32"/>
      <c r="O158" s="28"/>
      <c r="P158" s="40"/>
      <c r="Q158" s="26"/>
      <c r="R158" s="26"/>
      <c r="S158" s="26"/>
      <c r="T158" s="26"/>
    </row>
    <row r="159" spans="1:20" s="43" customFormat="1" ht="67.5" x14ac:dyDescent="0.25">
      <c r="A159" s="41" t="s">
        <v>29</v>
      </c>
      <c r="B159" s="23">
        <v>108</v>
      </c>
      <c r="C159" s="41" t="s">
        <v>441</v>
      </c>
      <c r="D159" s="66">
        <v>17</v>
      </c>
      <c r="E159" s="33">
        <v>300000</v>
      </c>
      <c r="F159" s="33">
        <f>286136.15+5911.42</f>
        <v>292047.57</v>
      </c>
      <c r="G159" s="27" t="s">
        <v>19</v>
      </c>
      <c r="H159" s="27" t="s">
        <v>19</v>
      </c>
      <c r="I159" s="29" t="s">
        <v>442</v>
      </c>
      <c r="J159" s="28">
        <v>42956</v>
      </c>
      <c r="K159" s="63" t="s">
        <v>408</v>
      </c>
      <c r="L159" s="39">
        <v>0.124</v>
      </c>
      <c r="M159" s="31">
        <v>256566.69</v>
      </c>
      <c r="N159" s="32"/>
      <c r="O159" s="26">
        <v>43027</v>
      </c>
      <c r="P159" s="40">
        <v>200</v>
      </c>
      <c r="Q159" s="26">
        <v>43039</v>
      </c>
      <c r="R159" s="26" t="s">
        <v>443</v>
      </c>
      <c r="S159" s="26">
        <v>43280</v>
      </c>
      <c r="T159" s="26">
        <v>43395</v>
      </c>
    </row>
    <row r="160" spans="1:20" s="43" customFormat="1" ht="101.25" x14ac:dyDescent="0.25">
      <c r="A160" s="41" t="s">
        <v>29</v>
      </c>
      <c r="B160" s="23">
        <v>109</v>
      </c>
      <c r="C160" s="41" t="s">
        <v>1515</v>
      </c>
      <c r="D160" s="66" t="s">
        <v>444</v>
      </c>
      <c r="E160" s="67">
        <v>188403.04</v>
      </c>
      <c r="F160" s="33">
        <f>144867.8+2182.71</f>
        <v>147050.50999999998</v>
      </c>
      <c r="G160" s="26"/>
      <c r="H160" s="26"/>
      <c r="I160" s="29" t="s">
        <v>445</v>
      </c>
      <c r="J160" s="28">
        <v>42982</v>
      </c>
      <c r="K160" s="63" t="s">
        <v>446</v>
      </c>
      <c r="L160" s="39">
        <v>5.4600000000000003E-2</v>
      </c>
      <c r="M160" s="31">
        <v>139140.73000000001</v>
      </c>
      <c r="N160" s="32"/>
      <c r="O160" s="26">
        <v>43038</v>
      </c>
      <c r="P160" s="40">
        <v>150</v>
      </c>
      <c r="Q160" s="26">
        <v>43047</v>
      </c>
      <c r="R160" s="26" t="s">
        <v>447</v>
      </c>
      <c r="S160" s="26">
        <v>43271</v>
      </c>
      <c r="T160" s="26">
        <v>43278</v>
      </c>
    </row>
    <row r="161" spans="1:20" s="43" customFormat="1" ht="67.5" x14ac:dyDescent="0.25">
      <c r="A161" s="41" t="s">
        <v>29</v>
      </c>
      <c r="B161" s="23">
        <v>110</v>
      </c>
      <c r="C161" s="41" t="s">
        <v>448</v>
      </c>
      <c r="D161" s="66" t="s">
        <v>449</v>
      </c>
      <c r="E161" s="33">
        <v>205279.85</v>
      </c>
      <c r="F161" s="2">
        <f>167126.42+5423.43</f>
        <v>172549.85</v>
      </c>
      <c r="G161" s="26" t="s">
        <v>450</v>
      </c>
      <c r="H161" s="27" t="s">
        <v>19</v>
      </c>
      <c r="I161" s="27" t="s">
        <v>19</v>
      </c>
      <c r="J161" s="28">
        <v>42999</v>
      </c>
      <c r="K161" s="38" t="s">
        <v>451</v>
      </c>
      <c r="L161" s="39">
        <v>0.19109999999999999</v>
      </c>
      <c r="M161" s="31">
        <v>140611.99</v>
      </c>
      <c r="N161" s="32"/>
      <c r="O161" s="26">
        <v>43068</v>
      </c>
      <c r="P161" s="40">
        <v>150</v>
      </c>
      <c r="Q161" s="26">
        <v>43129</v>
      </c>
      <c r="R161" s="26" t="s">
        <v>452</v>
      </c>
      <c r="S161" s="26">
        <v>43455</v>
      </c>
      <c r="T161" s="26">
        <v>43535</v>
      </c>
    </row>
    <row r="162" spans="1:20" s="43" customFormat="1" ht="33.75" x14ac:dyDescent="0.25">
      <c r="A162" s="41" t="s">
        <v>29</v>
      </c>
      <c r="B162" s="53" t="s">
        <v>453</v>
      </c>
      <c r="C162" s="41" t="s">
        <v>454</v>
      </c>
      <c r="D162" s="66"/>
      <c r="E162" s="33"/>
      <c r="F162" s="2"/>
      <c r="G162" s="26"/>
      <c r="H162" s="27"/>
      <c r="I162" s="27"/>
      <c r="J162" s="28"/>
      <c r="K162" s="38"/>
      <c r="L162" s="39"/>
      <c r="M162" s="31">
        <v>9263.35</v>
      </c>
      <c r="N162" s="32"/>
      <c r="O162" s="26"/>
      <c r="P162" s="40"/>
      <c r="Q162" s="26"/>
      <c r="R162" s="26"/>
      <c r="S162" s="26"/>
      <c r="T162" s="26"/>
    </row>
    <row r="163" spans="1:20" s="43" customFormat="1" ht="81" x14ac:dyDescent="0.25">
      <c r="A163" s="41" t="s">
        <v>18</v>
      </c>
      <c r="B163" s="23">
        <v>111</v>
      </c>
      <c r="C163" s="41" t="s">
        <v>455</v>
      </c>
      <c r="D163" s="38" t="s">
        <v>456</v>
      </c>
      <c r="E163" s="33">
        <v>400000</v>
      </c>
      <c r="F163" s="33">
        <f>383336.13+5031.96</f>
        <v>388368.09</v>
      </c>
      <c r="G163" s="26" t="s">
        <v>457</v>
      </c>
      <c r="H163" s="27" t="s">
        <v>19</v>
      </c>
      <c r="I163" s="27" t="s">
        <v>19</v>
      </c>
      <c r="J163" s="28">
        <v>43059</v>
      </c>
      <c r="K163" s="56" t="s">
        <v>458</v>
      </c>
      <c r="L163" s="39">
        <v>0.24790000000000001</v>
      </c>
      <c r="M163" s="31">
        <v>293339.06</v>
      </c>
      <c r="N163" s="32"/>
      <c r="O163" s="26">
        <v>43157</v>
      </c>
      <c r="P163" s="40">
        <v>245</v>
      </c>
      <c r="Q163" s="27" t="s">
        <v>1625</v>
      </c>
      <c r="R163" s="26" t="s">
        <v>459</v>
      </c>
      <c r="S163" s="26">
        <v>43510</v>
      </c>
      <c r="T163" s="26">
        <v>43720</v>
      </c>
    </row>
    <row r="164" spans="1:20" s="43" customFormat="1" ht="22.5" x14ac:dyDescent="0.25">
      <c r="A164" s="41" t="s">
        <v>18</v>
      </c>
      <c r="B164" s="53" t="s">
        <v>460</v>
      </c>
      <c r="C164" s="41" t="s">
        <v>461</v>
      </c>
      <c r="D164" s="38"/>
      <c r="E164" s="33"/>
      <c r="F164" s="33"/>
      <c r="G164" s="26"/>
      <c r="H164" s="27"/>
      <c r="I164" s="27"/>
      <c r="J164" s="28"/>
      <c r="K164" s="56"/>
      <c r="L164" s="39"/>
      <c r="M164" s="31">
        <v>26948.78</v>
      </c>
      <c r="N164" s="32"/>
      <c r="O164" s="26"/>
      <c r="P164" s="40"/>
      <c r="Q164" s="26"/>
      <c r="R164" s="26"/>
      <c r="S164" s="26"/>
      <c r="T164" s="26"/>
    </row>
    <row r="165" spans="1:20" s="43" customFormat="1" ht="67.5" x14ac:dyDescent="0.25">
      <c r="A165" s="41" t="s">
        <v>29</v>
      </c>
      <c r="B165" s="23">
        <v>112</v>
      </c>
      <c r="C165" s="41" t="s">
        <v>1514</v>
      </c>
      <c r="D165" s="38" t="s">
        <v>462</v>
      </c>
      <c r="E165" s="60">
        <v>64608.51</v>
      </c>
      <c r="F165" s="2">
        <f>57111.09+601.98</f>
        <v>57713.07</v>
      </c>
      <c r="G165" s="26" t="s">
        <v>463</v>
      </c>
      <c r="H165" s="27" t="s">
        <v>19</v>
      </c>
      <c r="I165" s="27" t="s">
        <v>19</v>
      </c>
      <c r="J165" s="28">
        <v>43089</v>
      </c>
      <c r="K165" s="28" t="s">
        <v>464</v>
      </c>
      <c r="L165" s="39">
        <v>0.2349</v>
      </c>
      <c r="M165" s="31">
        <v>44297.67</v>
      </c>
      <c r="N165" s="32"/>
      <c r="O165" s="26" t="s">
        <v>1626</v>
      </c>
      <c r="P165" s="40">
        <v>60</v>
      </c>
      <c r="Q165" s="26">
        <v>43159</v>
      </c>
      <c r="R165" s="26" t="s">
        <v>465</v>
      </c>
      <c r="S165" s="26">
        <v>43320</v>
      </c>
      <c r="T165" s="26">
        <v>43412</v>
      </c>
    </row>
    <row r="166" spans="1:20" s="43" customFormat="1" ht="67.5" x14ac:dyDescent="0.25">
      <c r="A166" s="41" t="s">
        <v>29</v>
      </c>
      <c r="B166" s="23">
        <v>113</v>
      </c>
      <c r="C166" s="41" t="s">
        <v>1513</v>
      </c>
      <c r="D166" s="38" t="s">
        <v>466</v>
      </c>
      <c r="E166" s="60">
        <v>195318.81</v>
      </c>
      <c r="F166" s="33">
        <f>181077.85+5535.63</f>
        <v>186613.48</v>
      </c>
      <c r="G166" s="26" t="s">
        <v>467</v>
      </c>
      <c r="H166" s="27" t="s">
        <v>19</v>
      </c>
      <c r="I166" s="27" t="s">
        <v>19</v>
      </c>
      <c r="J166" s="28">
        <v>43088</v>
      </c>
      <c r="K166" s="28" t="s">
        <v>468</v>
      </c>
      <c r="L166" s="39">
        <v>0.23319999999999999</v>
      </c>
      <c r="M166" s="31">
        <v>144386.13</v>
      </c>
      <c r="N166" s="32"/>
      <c r="O166" s="26" t="s">
        <v>1627</v>
      </c>
      <c r="P166" s="40">
        <v>250</v>
      </c>
      <c r="Q166" s="28">
        <v>43180</v>
      </c>
      <c r="R166" s="26">
        <v>43206</v>
      </c>
      <c r="S166" s="26">
        <v>43662</v>
      </c>
      <c r="T166" s="26">
        <v>43724</v>
      </c>
    </row>
    <row r="167" spans="1:20" s="43" customFormat="1" ht="22.5" x14ac:dyDescent="0.25">
      <c r="A167" s="41" t="s">
        <v>29</v>
      </c>
      <c r="B167" s="53" t="s">
        <v>469</v>
      </c>
      <c r="C167" s="41" t="s">
        <v>470</v>
      </c>
      <c r="D167" s="38"/>
      <c r="E167" s="60"/>
      <c r="F167" s="33"/>
      <c r="G167" s="26"/>
      <c r="H167" s="27"/>
      <c r="I167" s="27"/>
      <c r="J167" s="28"/>
      <c r="K167" s="28"/>
      <c r="L167" s="39"/>
      <c r="M167" s="31">
        <v>9225.6</v>
      </c>
      <c r="N167" s="32"/>
      <c r="O167" s="26"/>
      <c r="P167" s="40"/>
      <c r="Q167" s="28"/>
      <c r="R167" s="26"/>
      <c r="S167" s="26"/>
      <c r="T167" s="26"/>
    </row>
    <row r="168" spans="1:20" s="43" customFormat="1" ht="45" x14ac:dyDescent="0.25">
      <c r="A168" s="41" t="s">
        <v>471</v>
      </c>
      <c r="B168" s="23">
        <v>114</v>
      </c>
      <c r="C168" s="41" t="s">
        <v>472</v>
      </c>
      <c r="D168" s="38" t="s">
        <v>473</v>
      </c>
      <c r="E168" s="33">
        <v>135000</v>
      </c>
      <c r="F168" s="5">
        <f>126400+3600</f>
        <v>130000</v>
      </c>
      <c r="G168" s="41"/>
      <c r="H168" s="27" t="s">
        <v>19</v>
      </c>
      <c r="I168" s="29" t="s">
        <v>474</v>
      </c>
      <c r="J168" s="28">
        <v>43180</v>
      </c>
      <c r="K168" s="20" t="s">
        <v>475</v>
      </c>
      <c r="L168" s="35">
        <v>0.19317999999999999</v>
      </c>
      <c r="M168" s="31">
        <v>105582.05</v>
      </c>
      <c r="N168" s="32"/>
      <c r="O168" s="28">
        <v>43256</v>
      </c>
      <c r="P168" s="40">
        <v>120</v>
      </c>
      <c r="Q168" s="26">
        <v>43367</v>
      </c>
      <c r="R168" s="26" t="s">
        <v>476</v>
      </c>
      <c r="S168" s="26"/>
      <c r="T168" s="26"/>
    </row>
    <row r="169" spans="1:20" s="43" customFormat="1" ht="45" x14ac:dyDescent="0.25">
      <c r="A169" s="41" t="s">
        <v>471</v>
      </c>
      <c r="B169" s="53" t="s">
        <v>477</v>
      </c>
      <c r="C169" s="41" t="s">
        <v>478</v>
      </c>
      <c r="D169" s="38"/>
      <c r="E169" s="33"/>
      <c r="F169" s="5"/>
      <c r="G169" s="41"/>
      <c r="H169" s="27"/>
      <c r="I169" s="29"/>
      <c r="J169" s="28"/>
      <c r="K169" s="20"/>
      <c r="L169" s="35"/>
      <c r="M169" s="31">
        <v>-4212.3100000000004</v>
      </c>
      <c r="N169" s="32"/>
      <c r="O169" s="28"/>
      <c r="P169" s="40"/>
      <c r="Q169" s="26"/>
      <c r="R169" s="26"/>
      <c r="S169" s="26"/>
      <c r="T169" s="26"/>
    </row>
    <row r="170" spans="1:20" s="43" customFormat="1" ht="67.5" x14ac:dyDescent="0.25">
      <c r="A170" s="41" t="s">
        <v>29</v>
      </c>
      <c r="B170" s="23">
        <v>115</v>
      </c>
      <c r="C170" s="41" t="s">
        <v>1511</v>
      </c>
      <c r="D170" s="66">
        <v>114</v>
      </c>
      <c r="E170" s="33">
        <v>280000</v>
      </c>
      <c r="F170" s="33">
        <f>263631.34+7943.9</f>
        <v>271575.24000000005</v>
      </c>
      <c r="G170" s="26"/>
      <c r="H170" s="26"/>
      <c r="I170" s="29" t="s">
        <v>479</v>
      </c>
      <c r="J170" s="28" t="s">
        <v>480</v>
      </c>
      <c r="K170" s="20" t="s">
        <v>481</v>
      </c>
      <c r="L170" s="39">
        <v>5.04E-2</v>
      </c>
      <c r="M170" s="31">
        <v>258288.22</v>
      </c>
      <c r="N170" s="32"/>
      <c r="O170" s="28" t="s">
        <v>1628</v>
      </c>
      <c r="P170" s="40">
        <v>240</v>
      </c>
      <c r="Q170" s="26" t="s">
        <v>1512</v>
      </c>
      <c r="R170" s="26" t="s">
        <v>482</v>
      </c>
      <c r="S170" s="26" t="s">
        <v>483</v>
      </c>
      <c r="T170" s="26">
        <v>44130</v>
      </c>
    </row>
    <row r="171" spans="1:20" s="43" customFormat="1" ht="56.25" x14ac:dyDescent="0.25">
      <c r="A171" s="41" t="s">
        <v>18</v>
      </c>
      <c r="B171" s="23">
        <v>116</v>
      </c>
      <c r="C171" s="41" t="s">
        <v>484</v>
      </c>
      <c r="D171" s="66" t="s">
        <v>485</v>
      </c>
      <c r="E171" s="33">
        <v>102100</v>
      </c>
      <c r="F171" s="2">
        <f>93800+3300</f>
        <v>97100</v>
      </c>
      <c r="G171" s="26" t="s">
        <v>486</v>
      </c>
      <c r="H171" s="27" t="s">
        <v>19</v>
      </c>
      <c r="I171" s="27" t="s">
        <v>19</v>
      </c>
      <c r="J171" s="28">
        <v>43206</v>
      </c>
      <c r="K171" s="20" t="s">
        <v>487</v>
      </c>
      <c r="L171" s="39"/>
      <c r="M171" s="63" t="s">
        <v>488</v>
      </c>
      <c r="N171" s="32"/>
      <c r="O171" s="26"/>
      <c r="P171" s="40">
        <v>60</v>
      </c>
      <c r="Q171" s="26"/>
      <c r="R171" s="26"/>
      <c r="S171" s="26"/>
      <c r="T171" s="26"/>
    </row>
    <row r="172" spans="1:20" s="43" customFormat="1" ht="151.5" x14ac:dyDescent="0.25">
      <c r="A172" s="41" t="s">
        <v>489</v>
      </c>
      <c r="B172" s="23">
        <v>117</v>
      </c>
      <c r="C172" s="41" t="s">
        <v>1510</v>
      </c>
      <c r="D172" s="38" t="s">
        <v>490</v>
      </c>
      <c r="E172" s="33">
        <v>205000</v>
      </c>
      <c r="F172" s="2">
        <f>111874.86+51043.69</f>
        <v>162918.54999999999</v>
      </c>
      <c r="G172" s="68" t="s">
        <v>491</v>
      </c>
      <c r="H172" s="27" t="s">
        <v>19</v>
      </c>
      <c r="I172" s="27" t="s">
        <v>19</v>
      </c>
      <c r="J172" s="28">
        <v>43208</v>
      </c>
      <c r="K172" s="20" t="s">
        <v>492</v>
      </c>
      <c r="L172" s="35">
        <v>0.27278000000000002</v>
      </c>
      <c r="M172" s="31">
        <v>132401.32999999999</v>
      </c>
      <c r="N172" s="32"/>
      <c r="O172" s="28" t="s">
        <v>1629</v>
      </c>
      <c r="P172" s="40">
        <v>308</v>
      </c>
      <c r="Q172" s="26">
        <v>43292</v>
      </c>
      <c r="R172" s="26" t="s">
        <v>493</v>
      </c>
      <c r="S172" s="26">
        <v>43574</v>
      </c>
      <c r="T172" s="26">
        <v>43602</v>
      </c>
    </row>
    <row r="173" spans="1:20" s="43" customFormat="1" ht="33.75" x14ac:dyDescent="0.25">
      <c r="A173" s="41" t="s">
        <v>489</v>
      </c>
      <c r="B173" s="53" t="s">
        <v>494</v>
      </c>
      <c r="C173" s="41" t="s">
        <v>495</v>
      </c>
      <c r="D173" s="38"/>
      <c r="E173" s="33"/>
      <c r="F173" s="2"/>
      <c r="G173" s="68"/>
      <c r="H173" s="27"/>
      <c r="I173" s="27"/>
      <c r="J173" s="28"/>
      <c r="K173" s="20"/>
      <c r="L173" s="35"/>
      <c r="M173" s="31">
        <v>33566.25</v>
      </c>
      <c r="N173" s="32"/>
      <c r="O173" s="28"/>
      <c r="P173" s="40"/>
      <c r="Q173" s="26"/>
      <c r="R173" s="26"/>
      <c r="S173" s="26"/>
      <c r="T173" s="26"/>
    </row>
    <row r="174" spans="1:20" s="43" customFormat="1" ht="101.25" x14ac:dyDescent="0.25">
      <c r="A174" s="41" t="s">
        <v>18</v>
      </c>
      <c r="B174" s="23">
        <v>118</v>
      </c>
      <c r="C174" s="41" t="s">
        <v>1508</v>
      </c>
      <c r="D174" s="66">
        <v>174</v>
      </c>
      <c r="E174" s="33">
        <v>350000</v>
      </c>
      <c r="F174" s="2">
        <f>320158.39+13147.17</f>
        <v>333305.56</v>
      </c>
      <c r="G174" s="26" t="s">
        <v>496</v>
      </c>
      <c r="H174" s="27" t="s">
        <v>19</v>
      </c>
      <c r="I174" s="27" t="s">
        <v>19</v>
      </c>
      <c r="J174" s="28">
        <v>43206</v>
      </c>
      <c r="K174" s="20" t="s">
        <v>497</v>
      </c>
      <c r="L174" s="35">
        <v>0.26469999999999999</v>
      </c>
      <c r="M174" s="31">
        <v>248559.63</v>
      </c>
      <c r="N174" s="32"/>
      <c r="O174" s="28" t="s">
        <v>1630</v>
      </c>
      <c r="P174" s="40">
        <v>180</v>
      </c>
      <c r="Q174" s="26" t="s">
        <v>1509</v>
      </c>
      <c r="R174" s="26" t="s">
        <v>498</v>
      </c>
      <c r="S174" s="26" t="s">
        <v>499</v>
      </c>
      <c r="T174" s="26">
        <v>43676</v>
      </c>
    </row>
    <row r="175" spans="1:20" s="43" customFormat="1" ht="33.75" x14ac:dyDescent="0.25">
      <c r="A175" s="41" t="s">
        <v>18</v>
      </c>
      <c r="B175" s="53" t="s">
        <v>500</v>
      </c>
      <c r="C175" s="41" t="s">
        <v>501</v>
      </c>
      <c r="D175" s="66"/>
      <c r="E175" s="33"/>
      <c r="F175" s="2"/>
      <c r="G175" s="26"/>
      <c r="H175" s="27"/>
      <c r="I175" s="27"/>
      <c r="J175" s="28"/>
      <c r="K175" s="20"/>
      <c r="L175" s="35"/>
      <c r="M175" s="31">
        <v>62416.55</v>
      </c>
      <c r="N175" s="32"/>
      <c r="O175" s="28"/>
      <c r="P175" s="40"/>
      <c r="Q175" s="28"/>
      <c r="R175" s="26"/>
      <c r="S175" s="26"/>
      <c r="T175" s="26"/>
    </row>
    <row r="176" spans="1:20" s="43" customFormat="1" ht="90" x14ac:dyDescent="0.25">
      <c r="A176" s="41" t="s">
        <v>18</v>
      </c>
      <c r="B176" s="23">
        <v>119</v>
      </c>
      <c r="C176" s="41" t="s">
        <v>502</v>
      </c>
      <c r="D176" s="66">
        <v>175</v>
      </c>
      <c r="E176" s="33">
        <v>350000</v>
      </c>
      <c r="F176" s="2">
        <f>319878.83+11037.67</f>
        <v>330916.5</v>
      </c>
      <c r="G176" s="26" t="s">
        <v>503</v>
      </c>
      <c r="H176" s="27" t="s">
        <v>19</v>
      </c>
      <c r="I176" s="27" t="s">
        <v>19</v>
      </c>
      <c r="J176" s="28">
        <v>43206</v>
      </c>
      <c r="K176" s="20" t="s">
        <v>504</v>
      </c>
      <c r="L176" s="39">
        <v>0.2346</v>
      </c>
      <c r="M176" s="31">
        <v>255872.93</v>
      </c>
      <c r="N176" s="32"/>
      <c r="O176" s="28">
        <v>43278</v>
      </c>
      <c r="P176" s="40">
        <v>180</v>
      </c>
      <c r="Q176" s="26" t="s">
        <v>1507</v>
      </c>
      <c r="R176" s="26" t="s">
        <v>505</v>
      </c>
      <c r="S176" s="28"/>
      <c r="T176" s="26">
        <v>43747</v>
      </c>
    </row>
    <row r="177" spans="1:20" s="43" customFormat="1" ht="33.75" x14ac:dyDescent="0.25">
      <c r="A177" s="41" t="s">
        <v>18</v>
      </c>
      <c r="B177" s="53" t="s">
        <v>506</v>
      </c>
      <c r="C177" s="41" t="s">
        <v>507</v>
      </c>
      <c r="D177" s="66"/>
      <c r="E177" s="33"/>
      <c r="F177" s="2"/>
      <c r="G177" s="26"/>
      <c r="H177" s="27"/>
      <c r="I177" s="27"/>
      <c r="J177" s="28"/>
      <c r="K177" s="20"/>
      <c r="L177" s="39"/>
      <c r="M177" s="31">
        <v>45634.18</v>
      </c>
      <c r="N177" s="32"/>
      <c r="O177" s="28"/>
      <c r="P177" s="40"/>
      <c r="Q177" s="28"/>
      <c r="R177" s="26"/>
      <c r="S177" s="26"/>
      <c r="T177" s="26"/>
    </row>
    <row r="178" spans="1:20" s="43" customFormat="1" ht="123.75" x14ac:dyDescent="0.25">
      <c r="A178" s="41" t="s">
        <v>21</v>
      </c>
      <c r="B178" s="23">
        <v>120</v>
      </c>
      <c r="C178" s="41" t="s">
        <v>508</v>
      </c>
      <c r="D178" s="38" t="s">
        <v>509</v>
      </c>
      <c r="E178" s="33">
        <v>195000</v>
      </c>
      <c r="F178" s="2">
        <f>149917.01+27984.84</f>
        <v>177901.85</v>
      </c>
      <c r="G178" s="26" t="s">
        <v>510</v>
      </c>
      <c r="H178" s="27" t="s">
        <v>19</v>
      </c>
      <c r="I178" s="27" t="s">
        <v>19</v>
      </c>
      <c r="J178" s="28">
        <v>43256</v>
      </c>
      <c r="K178" s="20" t="s">
        <v>511</v>
      </c>
      <c r="L178" s="35">
        <v>0.18623000000000001</v>
      </c>
      <c r="M178" s="31">
        <v>149982.81</v>
      </c>
      <c r="N178" s="32"/>
      <c r="O178" s="28">
        <v>43355</v>
      </c>
      <c r="P178" s="40">
        <v>120</v>
      </c>
      <c r="Q178" s="26">
        <v>43376</v>
      </c>
      <c r="R178" s="26">
        <v>43377</v>
      </c>
      <c r="S178" s="26">
        <v>43524</v>
      </c>
      <c r="T178" s="26">
        <v>43567</v>
      </c>
    </row>
    <row r="179" spans="1:20" s="43" customFormat="1" ht="22.5" x14ac:dyDescent="0.25">
      <c r="A179" s="41" t="s">
        <v>21</v>
      </c>
      <c r="B179" s="53" t="s">
        <v>512</v>
      </c>
      <c r="C179" s="41" t="s">
        <v>513</v>
      </c>
      <c r="D179" s="38"/>
      <c r="E179" s="33"/>
      <c r="F179" s="2"/>
      <c r="G179" s="26"/>
      <c r="H179" s="27"/>
      <c r="I179" s="27"/>
      <c r="J179" s="28"/>
      <c r="K179" s="20"/>
      <c r="L179" s="35"/>
      <c r="M179" s="31">
        <v>5464.51</v>
      </c>
      <c r="N179" s="32"/>
      <c r="O179" s="28"/>
      <c r="P179" s="40"/>
      <c r="Q179" s="26"/>
      <c r="R179" s="26"/>
      <c r="S179" s="26"/>
      <c r="T179" s="26"/>
    </row>
    <row r="180" spans="1:20" s="43" customFormat="1" ht="101.25" x14ac:dyDescent="0.25">
      <c r="A180" s="41" t="s">
        <v>29</v>
      </c>
      <c r="B180" s="23">
        <v>121</v>
      </c>
      <c r="C180" s="41" t="s">
        <v>514</v>
      </c>
      <c r="D180" s="38" t="s">
        <v>515</v>
      </c>
      <c r="E180" s="33">
        <v>268611.52</v>
      </c>
      <c r="F180" s="33">
        <f>218016.91+7000.16+4299.32</f>
        <v>229316.39</v>
      </c>
      <c r="G180" s="26" t="s">
        <v>516</v>
      </c>
      <c r="H180" s="27" t="s">
        <v>19</v>
      </c>
      <c r="I180" s="27" t="s">
        <v>19</v>
      </c>
      <c r="J180" s="28">
        <v>43262</v>
      </c>
      <c r="K180" s="20" t="s">
        <v>517</v>
      </c>
      <c r="L180" s="35">
        <v>0.24998999999999999</v>
      </c>
      <c r="M180" s="31">
        <v>173064.37</v>
      </c>
      <c r="N180" s="32">
        <v>43293</v>
      </c>
      <c r="O180" s="28">
        <v>43349</v>
      </c>
      <c r="P180" s="40">
        <v>150</v>
      </c>
      <c r="Q180" s="26">
        <v>43426</v>
      </c>
      <c r="R180" s="26" t="s">
        <v>518</v>
      </c>
      <c r="S180" s="26">
        <v>43746</v>
      </c>
      <c r="T180" s="26">
        <v>43756</v>
      </c>
    </row>
    <row r="181" spans="1:20" s="43" customFormat="1" ht="78.75" x14ac:dyDescent="0.25">
      <c r="A181" s="41" t="s">
        <v>21</v>
      </c>
      <c r="B181" s="23">
        <v>122</v>
      </c>
      <c r="C181" s="41" t="s">
        <v>519</v>
      </c>
      <c r="D181" s="38">
        <v>220</v>
      </c>
      <c r="E181" s="33">
        <v>202870</v>
      </c>
      <c r="F181" s="2">
        <f>98970+86700</f>
        <v>185670</v>
      </c>
      <c r="G181" s="26" t="s">
        <v>520</v>
      </c>
      <c r="H181" s="27" t="s">
        <v>19</v>
      </c>
      <c r="I181" s="27" t="s">
        <v>19</v>
      </c>
      <c r="J181" s="28">
        <v>43265</v>
      </c>
      <c r="K181" s="20" t="s">
        <v>521</v>
      </c>
      <c r="L181" s="35">
        <v>0.23283000000000001</v>
      </c>
      <c r="M181" s="31">
        <v>162626.81</v>
      </c>
      <c r="N181" s="32">
        <v>43280</v>
      </c>
      <c r="O181" s="63" t="s">
        <v>1631</v>
      </c>
      <c r="P181" s="40">
        <v>90</v>
      </c>
      <c r="Q181" s="28" t="s">
        <v>1506</v>
      </c>
      <c r="R181" s="26">
        <v>43290</v>
      </c>
      <c r="S181" s="26">
        <v>43371</v>
      </c>
      <c r="T181" s="26">
        <v>43382</v>
      </c>
    </row>
    <row r="182" spans="1:20" s="43" customFormat="1" ht="67.5" x14ac:dyDescent="0.25">
      <c r="A182" s="41" t="s">
        <v>21</v>
      </c>
      <c r="B182" s="23">
        <v>123</v>
      </c>
      <c r="C182" s="41" t="s">
        <v>522</v>
      </c>
      <c r="D182" s="38" t="s">
        <v>523</v>
      </c>
      <c r="E182" s="33">
        <v>225022.81</v>
      </c>
      <c r="F182" s="2">
        <f>179749.62+3785.71</f>
        <v>183535.33</v>
      </c>
      <c r="G182" s="27" t="s">
        <v>19</v>
      </c>
      <c r="H182" s="27" t="s">
        <v>19</v>
      </c>
      <c r="I182" s="29" t="s">
        <v>524</v>
      </c>
      <c r="J182" s="28">
        <v>43276</v>
      </c>
      <c r="K182" s="20" t="s">
        <v>525</v>
      </c>
      <c r="L182" s="39">
        <v>5.8200000000000002E-2</v>
      </c>
      <c r="M182" s="31">
        <v>173073.9</v>
      </c>
      <c r="N182" s="32">
        <v>43285</v>
      </c>
      <c r="O182" s="28">
        <v>43384</v>
      </c>
      <c r="P182" s="40">
        <v>90</v>
      </c>
      <c r="Q182" s="26">
        <v>43524</v>
      </c>
      <c r="R182" s="26" t="s">
        <v>526</v>
      </c>
      <c r="S182" s="26">
        <v>43712</v>
      </c>
      <c r="T182" s="26">
        <v>43797</v>
      </c>
    </row>
    <row r="183" spans="1:20" s="43" customFormat="1" ht="22.5" x14ac:dyDescent="0.25">
      <c r="A183" s="41" t="s">
        <v>21</v>
      </c>
      <c r="B183" s="53" t="s">
        <v>527</v>
      </c>
      <c r="C183" s="41" t="s">
        <v>528</v>
      </c>
      <c r="D183" s="38"/>
      <c r="E183" s="33"/>
      <c r="F183" s="2"/>
      <c r="G183" s="27"/>
      <c r="H183" s="27"/>
      <c r="I183" s="29"/>
      <c r="J183" s="28"/>
      <c r="K183" s="20"/>
      <c r="L183" s="39"/>
      <c r="M183" s="31">
        <v>8335.8700000000008</v>
      </c>
      <c r="N183" s="32"/>
      <c r="O183" s="28"/>
      <c r="P183" s="40"/>
      <c r="Q183" s="26"/>
      <c r="R183" s="26"/>
      <c r="S183" s="26"/>
      <c r="T183" s="26"/>
    </row>
    <row r="184" spans="1:20" s="43" customFormat="1" ht="45" x14ac:dyDescent="0.25">
      <c r="A184" s="41" t="s">
        <v>21</v>
      </c>
      <c r="B184" s="23">
        <v>124</v>
      </c>
      <c r="C184" s="41" t="s">
        <v>529</v>
      </c>
      <c r="D184" s="38" t="s">
        <v>530</v>
      </c>
      <c r="E184" s="33">
        <v>843385.36</v>
      </c>
      <c r="F184" s="2">
        <f>603734.46+95680.17</f>
        <v>699414.63</v>
      </c>
      <c r="G184" s="26" t="s">
        <v>531</v>
      </c>
      <c r="H184" s="27" t="s">
        <v>19</v>
      </c>
      <c r="I184" s="27" t="s">
        <v>19</v>
      </c>
      <c r="J184" s="28">
        <v>43286</v>
      </c>
      <c r="K184" s="38" t="s">
        <v>532</v>
      </c>
      <c r="L184" s="35">
        <v>0.24107999999999999</v>
      </c>
      <c r="M184" s="61">
        <v>553866.32999999996</v>
      </c>
      <c r="N184" s="32"/>
      <c r="O184" s="28">
        <v>43377</v>
      </c>
      <c r="P184" s="40">
        <v>195</v>
      </c>
      <c r="Q184" s="26">
        <v>43409</v>
      </c>
      <c r="R184" s="26">
        <v>43430</v>
      </c>
      <c r="S184" s="26">
        <v>43748</v>
      </c>
      <c r="T184" s="26">
        <v>44218</v>
      </c>
    </row>
    <row r="185" spans="1:20" s="43" customFormat="1" ht="101.25" x14ac:dyDescent="0.25">
      <c r="A185" s="41" t="s">
        <v>21</v>
      </c>
      <c r="B185" s="23">
        <v>125</v>
      </c>
      <c r="C185" s="41" t="s">
        <v>533</v>
      </c>
      <c r="D185" s="38" t="s">
        <v>534</v>
      </c>
      <c r="E185" s="33">
        <v>250000</v>
      </c>
      <c r="F185" s="2">
        <f>232532.76+3093.26</f>
        <v>235626.02000000002</v>
      </c>
      <c r="G185" s="26" t="s">
        <v>535</v>
      </c>
      <c r="H185" s="27" t="s">
        <v>19</v>
      </c>
      <c r="I185" s="27" t="s">
        <v>19</v>
      </c>
      <c r="J185" s="28">
        <v>43294</v>
      </c>
      <c r="K185" s="38" t="s">
        <v>536</v>
      </c>
      <c r="L185" s="39">
        <v>0.2364</v>
      </c>
      <c r="M185" s="61">
        <v>180655.28</v>
      </c>
      <c r="N185" s="32"/>
      <c r="O185" s="28" t="s">
        <v>1632</v>
      </c>
      <c r="P185" s="40">
        <v>90</v>
      </c>
      <c r="Q185" s="27" t="s">
        <v>1505</v>
      </c>
      <c r="R185" s="26">
        <v>43481</v>
      </c>
      <c r="S185" s="26">
        <v>43619</v>
      </c>
      <c r="T185" s="69">
        <v>43707</v>
      </c>
    </row>
    <row r="186" spans="1:20" s="43" customFormat="1" ht="22.5" x14ac:dyDescent="0.25">
      <c r="A186" s="41" t="s">
        <v>21</v>
      </c>
      <c r="B186" s="53" t="s">
        <v>537</v>
      </c>
      <c r="C186" s="41" t="s">
        <v>538</v>
      </c>
      <c r="D186" s="38"/>
      <c r="E186" s="33"/>
      <c r="F186" s="2"/>
      <c r="G186" s="26"/>
      <c r="H186" s="27"/>
      <c r="I186" s="27"/>
      <c r="J186" s="28"/>
      <c r="K186" s="38"/>
      <c r="L186" s="39"/>
      <c r="M186" s="61">
        <v>0.05</v>
      </c>
      <c r="N186" s="32"/>
      <c r="O186" s="28"/>
      <c r="P186" s="40"/>
      <c r="Q186" s="28"/>
      <c r="R186" s="26"/>
      <c r="S186" s="26"/>
      <c r="T186" s="26"/>
    </row>
    <row r="187" spans="1:20" s="43" customFormat="1" ht="90" x14ac:dyDescent="0.25">
      <c r="A187" s="41" t="s">
        <v>18</v>
      </c>
      <c r="B187" s="23">
        <v>126</v>
      </c>
      <c r="C187" s="41" t="s">
        <v>539</v>
      </c>
      <c r="D187" s="38" t="s">
        <v>540</v>
      </c>
      <c r="E187" s="33">
        <v>398267.9</v>
      </c>
      <c r="F187" s="2">
        <f>331902.21+15765.69</f>
        <v>347667.9</v>
      </c>
      <c r="G187" s="26" t="s">
        <v>541</v>
      </c>
      <c r="H187" s="27" t="s">
        <v>19</v>
      </c>
      <c r="I187" s="27" t="s">
        <v>19</v>
      </c>
      <c r="J187" s="28">
        <v>43307</v>
      </c>
      <c r="K187" s="38" t="s">
        <v>542</v>
      </c>
      <c r="L187" s="35">
        <v>0.24218000000000001</v>
      </c>
      <c r="M187" s="61">
        <v>267287.82</v>
      </c>
      <c r="N187" s="32"/>
      <c r="O187" s="28" t="s">
        <v>1633</v>
      </c>
      <c r="P187" s="40">
        <v>250</v>
      </c>
      <c r="Q187" s="26">
        <v>43493</v>
      </c>
      <c r="R187" s="26">
        <v>43493</v>
      </c>
      <c r="S187" s="26">
        <v>43676</v>
      </c>
      <c r="T187" s="26">
        <v>43721</v>
      </c>
    </row>
    <row r="188" spans="1:20" s="43" customFormat="1" ht="22.5" x14ac:dyDescent="0.25">
      <c r="A188" s="41" t="s">
        <v>18</v>
      </c>
      <c r="B188" s="53" t="s">
        <v>543</v>
      </c>
      <c r="C188" s="41" t="s">
        <v>544</v>
      </c>
      <c r="D188" s="38"/>
      <c r="E188" s="33"/>
      <c r="F188" s="2"/>
      <c r="G188" s="26"/>
      <c r="H188" s="27"/>
      <c r="I188" s="27"/>
      <c r="J188" s="28"/>
      <c r="K188" s="38"/>
      <c r="L188" s="35"/>
      <c r="M188" s="61">
        <v>46098.89</v>
      </c>
      <c r="N188" s="32"/>
      <c r="O188" s="28"/>
      <c r="P188" s="40"/>
      <c r="Q188" s="26"/>
      <c r="R188" s="26"/>
      <c r="S188" s="26"/>
      <c r="T188" s="26"/>
    </row>
    <row r="189" spans="1:20" s="43" customFormat="1" ht="67.5" x14ac:dyDescent="0.25">
      <c r="A189" s="38" t="s">
        <v>29</v>
      </c>
      <c r="B189" s="23">
        <v>127</v>
      </c>
      <c r="C189" s="41" t="s">
        <v>545</v>
      </c>
      <c r="D189" s="38" t="s">
        <v>546</v>
      </c>
      <c r="E189" s="33">
        <v>700000</v>
      </c>
      <c r="F189" s="2">
        <f>645333.99+38331.01</f>
        <v>683665</v>
      </c>
      <c r="G189" s="26" t="s">
        <v>547</v>
      </c>
      <c r="H189" s="27" t="s">
        <v>19</v>
      </c>
      <c r="I189" s="27" t="s">
        <v>19</v>
      </c>
      <c r="J189" s="28">
        <v>43347</v>
      </c>
      <c r="K189" s="38" t="s">
        <v>548</v>
      </c>
      <c r="L189" s="35">
        <v>0.18829000000000001</v>
      </c>
      <c r="M189" s="61">
        <v>562155.06000000006</v>
      </c>
      <c r="N189" s="32">
        <v>43360</v>
      </c>
      <c r="O189" s="28" t="s">
        <v>1634</v>
      </c>
      <c r="P189" s="40">
        <v>365</v>
      </c>
      <c r="Q189" s="26" t="s">
        <v>1504</v>
      </c>
      <c r="R189" s="26" t="s">
        <v>549</v>
      </c>
      <c r="S189" s="26">
        <v>43780</v>
      </c>
      <c r="T189" s="26">
        <v>43798</v>
      </c>
    </row>
    <row r="190" spans="1:20" s="43" customFormat="1" ht="22.5" x14ac:dyDescent="0.25">
      <c r="A190" s="38" t="s">
        <v>29</v>
      </c>
      <c r="B190" s="53" t="s">
        <v>550</v>
      </c>
      <c r="C190" s="41" t="s">
        <v>551</v>
      </c>
      <c r="D190" s="38"/>
      <c r="E190" s="33"/>
      <c r="F190" s="2"/>
      <c r="G190" s="26"/>
      <c r="H190" s="27"/>
      <c r="I190" s="27"/>
      <c r="J190" s="28"/>
      <c r="K190" s="38"/>
      <c r="L190" s="35"/>
      <c r="M190" s="61">
        <v>56397.2</v>
      </c>
      <c r="N190" s="32"/>
      <c r="O190" s="28"/>
      <c r="P190" s="40"/>
      <c r="Q190" s="28"/>
      <c r="R190" s="26"/>
      <c r="S190" s="26"/>
      <c r="T190" s="26"/>
    </row>
    <row r="191" spans="1:20" s="43" customFormat="1" ht="78.75" x14ac:dyDescent="0.25">
      <c r="A191" s="38" t="s">
        <v>29</v>
      </c>
      <c r="B191" s="23">
        <v>128</v>
      </c>
      <c r="C191" s="41" t="s">
        <v>552</v>
      </c>
      <c r="D191" s="38" t="s">
        <v>553</v>
      </c>
      <c r="E191" s="2">
        <v>333695.27</v>
      </c>
      <c r="F191" s="2">
        <f>280634.2+26885.1</f>
        <v>307519.3</v>
      </c>
      <c r="G191" s="26" t="s">
        <v>554</v>
      </c>
      <c r="H191" s="27" t="s">
        <v>19</v>
      </c>
      <c r="I191" s="27" t="s">
        <v>19</v>
      </c>
      <c r="J191" s="28">
        <v>43374</v>
      </c>
      <c r="K191" s="38" t="s">
        <v>555</v>
      </c>
      <c r="L191" s="35">
        <v>0.24037</v>
      </c>
      <c r="M191" s="61">
        <v>240063.26</v>
      </c>
      <c r="N191" s="32">
        <v>43399</v>
      </c>
      <c r="O191" s="28" t="s">
        <v>1635</v>
      </c>
      <c r="P191" s="40">
        <v>365</v>
      </c>
      <c r="Q191" s="26">
        <v>43521</v>
      </c>
      <c r="R191" s="26" t="s">
        <v>556</v>
      </c>
      <c r="S191" s="26">
        <v>44043</v>
      </c>
      <c r="T191" s="26">
        <v>44153</v>
      </c>
    </row>
    <row r="192" spans="1:20" s="43" customFormat="1" ht="22.5" x14ac:dyDescent="0.25">
      <c r="A192" s="38" t="s">
        <v>29</v>
      </c>
      <c r="B192" s="53" t="s">
        <v>557</v>
      </c>
      <c r="C192" s="41" t="s">
        <v>558</v>
      </c>
      <c r="D192" s="38"/>
      <c r="E192" s="2"/>
      <c r="F192" s="2"/>
      <c r="G192" s="26"/>
      <c r="H192" s="27"/>
      <c r="I192" s="27"/>
      <c r="J192" s="28"/>
      <c r="K192" s="38"/>
      <c r="L192" s="35"/>
      <c r="M192" s="61">
        <v>91761.98</v>
      </c>
      <c r="N192" s="32"/>
      <c r="O192" s="28"/>
      <c r="P192" s="40"/>
      <c r="Q192" s="26"/>
      <c r="R192" s="26"/>
      <c r="S192" s="26"/>
      <c r="T192" s="26"/>
    </row>
    <row r="193" spans="1:20" s="43" customFormat="1" ht="78.75" x14ac:dyDescent="0.25">
      <c r="A193" s="41" t="s">
        <v>21</v>
      </c>
      <c r="B193" s="23">
        <v>129</v>
      </c>
      <c r="C193" s="41" t="s">
        <v>559</v>
      </c>
      <c r="D193" s="70" t="s">
        <v>39</v>
      </c>
      <c r="E193" s="2">
        <v>147900</v>
      </c>
      <c r="F193" s="2">
        <f>70500+68100</f>
        <v>138600</v>
      </c>
      <c r="G193" s="26" t="s">
        <v>560</v>
      </c>
      <c r="H193" s="27" t="s">
        <v>19</v>
      </c>
      <c r="I193" s="27" t="s">
        <v>19</v>
      </c>
      <c r="J193" s="28">
        <v>43402</v>
      </c>
      <c r="K193" s="20" t="s">
        <v>561</v>
      </c>
      <c r="L193" s="39">
        <v>0.28770000000000001</v>
      </c>
      <c r="M193" s="61">
        <v>118317.15</v>
      </c>
      <c r="N193" s="32">
        <v>43424</v>
      </c>
      <c r="O193" s="28">
        <v>43542</v>
      </c>
      <c r="P193" s="40">
        <v>60</v>
      </c>
      <c r="Q193" s="26">
        <v>43640</v>
      </c>
      <c r="R193" s="26" t="s">
        <v>562</v>
      </c>
      <c r="S193" s="26" t="s">
        <v>563</v>
      </c>
      <c r="T193" s="26"/>
    </row>
    <row r="194" spans="1:20" s="43" customFormat="1" ht="22.5" x14ac:dyDescent="0.25">
      <c r="A194" s="41" t="s">
        <v>21</v>
      </c>
      <c r="B194" s="53" t="s">
        <v>564</v>
      </c>
      <c r="C194" s="41" t="s">
        <v>565</v>
      </c>
      <c r="D194" s="70"/>
      <c r="E194" s="2"/>
      <c r="F194" s="2"/>
      <c r="G194" s="26"/>
      <c r="H194" s="27"/>
      <c r="I194" s="27"/>
      <c r="J194" s="28"/>
      <c r="K194" s="20"/>
      <c r="L194" s="39"/>
      <c r="M194" s="61">
        <v>-12471.13</v>
      </c>
      <c r="N194" s="32"/>
      <c r="O194" s="28"/>
      <c r="P194" s="40"/>
      <c r="Q194" s="26"/>
      <c r="R194" s="26"/>
      <c r="S194" s="26"/>
      <c r="T194" s="26"/>
    </row>
    <row r="195" spans="1:20" s="43" customFormat="1" ht="90" x14ac:dyDescent="0.25">
      <c r="A195" s="41" t="s">
        <v>18</v>
      </c>
      <c r="B195" s="23">
        <v>130</v>
      </c>
      <c r="C195" s="41" t="s">
        <v>566</v>
      </c>
      <c r="D195" s="38">
        <v>176</v>
      </c>
      <c r="E195" s="33">
        <v>231989.3</v>
      </c>
      <c r="F195" s="2">
        <f>146271.65+2384.83</f>
        <v>148656.47999999998</v>
      </c>
      <c r="G195" s="27" t="s">
        <v>19</v>
      </c>
      <c r="H195" s="27" t="s">
        <v>19</v>
      </c>
      <c r="I195" s="29" t="s">
        <v>567</v>
      </c>
      <c r="J195" s="28">
        <v>43402</v>
      </c>
      <c r="K195" s="20" t="s">
        <v>525</v>
      </c>
      <c r="L195" s="39">
        <v>4.2999999999999997E-2</v>
      </c>
      <c r="M195" s="61">
        <v>142366.79999999999</v>
      </c>
      <c r="N195" s="32">
        <v>43419</v>
      </c>
      <c r="O195" s="28">
        <v>43480</v>
      </c>
      <c r="P195" s="40">
        <v>150</v>
      </c>
      <c r="Q195" s="26">
        <v>43703</v>
      </c>
      <c r="R195" s="26"/>
      <c r="S195" s="26">
        <v>43853</v>
      </c>
      <c r="T195" s="26">
        <v>43959</v>
      </c>
    </row>
    <row r="196" spans="1:20" s="43" customFormat="1" ht="22.5" x14ac:dyDescent="0.25">
      <c r="A196" s="41" t="s">
        <v>18</v>
      </c>
      <c r="B196" s="53" t="s">
        <v>568</v>
      </c>
      <c r="C196" s="41" t="s">
        <v>569</v>
      </c>
      <c r="D196" s="38"/>
      <c r="E196" s="33"/>
      <c r="F196" s="2"/>
      <c r="G196" s="27"/>
      <c r="H196" s="27"/>
      <c r="I196" s="29"/>
      <c r="J196" s="28"/>
      <c r="K196" s="20"/>
      <c r="L196" s="39"/>
      <c r="M196" s="61">
        <v>4105.53</v>
      </c>
      <c r="N196" s="32"/>
      <c r="O196" s="28"/>
      <c r="P196" s="40"/>
      <c r="Q196" s="26"/>
      <c r="R196" s="26"/>
      <c r="S196" s="26"/>
      <c r="T196" s="26"/>
    </row>
    <row r="197" spans="1:20" s="43" customFormat="1" ht="146.25" x14ac:dyDescent="0.25">
      <c r="A197" s="38" t="s">
        <v>489</v>
      </c>
      <c r="B197" s="23">
        <v>131</v>
      </c>
      <c r="C197" s="41" t="s">
        <v>570</v>
      </c>
      <c r="D197" s="38" t="s">
        <v>571</v>
      </c>
      <c r="E197" s="33">
        <v>2827370</v>
      </c>
      <c r="F197" s="33">
        <f>2799370+28000</f>
        <v>2827370</v>
      </c>
      <c r="G197" s="26" t="s">
        <v>572</v>
      </c>
      <c r="H197" s="27" t="s">
        <v>19</v>
      </c>
      <c r="I197" s="27" t="s">
        <v>19</v>
      </c>
      <c r="J197" s="28" t="s">
        <v>573</v>
      </c>
      <c r="K197" s="38" t="s">
        <v>574</v>
      </c>
      <c r="L197" s="39"/>
      <c r="M197" s="61">
        <v>2758426.75</v>
      </c>
      <c r="N197" s="32">
        <v>43599</v>
      </c>
      <c r="O197" s="26" t="s">
        <v>1636</v>
      </c>
      <c r="P197" s="40"/>
      <c r="Q197" s="28" t="s">
        <v>575</v>
      </c>
      <c r="R197" s="26"/>
      <c r="S197" s="26">
        <v>45046</v>
      </c>
      <c r="T197" s="26">
        <v>45077</v>
      </c>
    </row>
    <row r="198" spans="1:20" s="43" customFormat="1" ht="33.75" x14ac:dyDescent="0.25">
      <c r="A198" s="38" t="s">
        <v>489</v>
      </c>
      <c r="B198" s="53" t="s">
        <v>576</v>
      </c>
      <c r="C198" s="41" t="s">
        <v>577</v>
      </c>
      <c r="D198" s="38" t="s">
        <v>571</v>
      </c>
      <c r="E198" s="33"/>
      <c r="F198" s="33"/>
      <c r="G198" s="26"/>
      <c r="H198" s="27"/>
      <c r="I198" s="27"/>
      <c r="J198" s="28"/>
      <c r="K198" s="38"/>
      <c r="L198" s="39"/>
      <c r="M198" s="61">
        <v>322272.17</v>
      </c>
      <c r="N198" s="32"/>
      <c r="O198" s="26"/>
      <c r="P198" s="40"/>
      <c r="Q198" s="28"/>
      <c r="R198" s="26"/>
      <c r="S198" s="26"/>
      <c r="T198" s="26"/>
    </row>
    <row r="199" spans="1:20" s="43" customFormat="1" ht="34.5" thickBot="1" x14ac:dyDescent="0.3">
      <c r="A199" s="38" t="s">
        <v>489</v>
      </c>
      <c r="B199" s="53" t="s">
        <v>578</v>
      </c>
      <c r="C199" s="80" t="s">
        <v>579</v>
      </c>
      <c r="D199" s="38"/>
      <c r="E199" s="33"/>
      <c r="F199" s="33"/>
      <c r="G199" s="26"/>
      <c r="H199" s="27"/>
      <c r="I199" s="27"/>
      <c r="J199" s="28"/>
      <c r="K199" s="38"/>
      <c r="L199" s="39"/>
      <c r="M199" s="61">
        <v>8576.48</v>
      </c>
      <c r="N199" s="32"/>
      <c r="O199" s="26"/>
      <c r="P199" s="40"/>
      <c r="Q199" s="28"/>
      <c r="R199" s="26"/>
      <c r="S199" s="26"/>
      <c r="T199" s="26"/>
    </row>
    <row r="200" spans="1:20" s="43" customFormat="1" ht="22.5" x14ac:dyDescent="0.25">
      <c r="A200" s="38" t="s">
        <v>489</v>
      </c>
      <c r="B200" s="53" t="s">
        <v>580</v>
      </c>
      <c r="C200" s="41" t="s">
        <v>581</v>
      </c>
      <c r="D200" s="38"/>
      <c r="E200" s="33"/>
      <c r="F200" s="33"/>
      <c r="G200" s="26"/>
      <c r="H200" s="27"/>
      <c r="I200" s="27"/>
      <c r="J200" s="28"/>
      <c r="K200" s="38"/>
      <c r="L200" s="39"/>
      <c r="M200" s="61">
        <f>65772.08-8576.48+25983.16</f>
        <v>83178.760000000009</v>
      </c>
      <c r="N200" s="32"/>
      <c r="O200" s="26"/>
      <c r="P200" s="40"/>
      <c r="Q200" s="28"/>
      <c r="R200" s="26"/>
      <c r="S200" s="26"/>
      <c r="T200" s="26"/>
    </row>
    <row r="201" spans="1:20" s="43" customFormat="1" ht="78.75" x14ac:dyDescent="0.25">
      <c r="A201" s="38" t="s">
        <v>29</v>
      </c>
      <c r="B201" s="23">
        <v>132</v>
      </c>
      <c r="C201" s="41" t="s">
        <v>582</v>
      </c>
      <c r="D201" s="70" t="s">
        <v>39</v>
      </c>
      <c r="E201" s="2">
        <v>233700</v>
      </c>
      <c r="F201" s="2">
        <f>82620+139380</f>
        <v>222000</v>
      </c>
      <c r="G201" s="26" t="s">
        <v>583</v>
      </c>
      <c r="H201" s="27" t="s">
        <v>19</v>
      </c>
      <c r="I201" s="27" t="s">
        <v>19</v>
      </c>
      <c r="J201" s="28">
        <v>43413</v>
      </c>
      <c r="K201" s="20" t="s">
        <v>584</v>
      </c>
      <c r="L201" s="39">
        <v>0.2722</v>
      </c>
      <c r="M201" s="61">
        <v>199510.84</v>
      </c>
      <c r="N201" s="32">
        <v>43439</v>
      </c>
      <c r="O201" s="28" t="s">
        <v>1637</v>
      </c>
      <c r="P201" s="40">
        <v>130</v>
      </c>
      <c r="Q201" s="26">
        <v>43584</v>
      </c>
      <c r="R201" s="26" t="s">
        <v>585</v>
      </c>
      <c r="S201" s="26"/>
      <c r="T201" s="26"/>
    </row>
    <row r="202" spans="1:20" s="43" customFormat="1" ht="22.5" x14ac:dyDescent="0.25">
      <c r="A202" s="38" t="s">
        <v>29</v>
      </c>
      <c r="B202" s="23">
        <v>132</v>
      </c>
      <c r="C202" s="41" t="s">
        <v>586</v>
      </c>
      <c r="D202" s="70"/>
      <c r="E202" s="2"/>
      <c r="F202" s="2"/>
      <c r="G202" s="26"/>
      <c r="H202" s="27"/>
      <c r="I202" s="27"/>
      <c r="J202" s="28"/>
      <c r="K202" s="20"/>
      <c r="L202" s="39"/>
      <c r="M202" s="61">
        <v>-67439.490000000005</v>
      </c>
      <c r="N202" s="32"/>
      <c r="O202" s="28"/>
      <c r="P202" s="40"/>
      <c r="Q202" s="26"/>
      <c r="R202" s="26"/>
      <c r="S202" s="26"/>
      <c r="T202" s="26"/>
    </row>
    <row r="203" spans="1:20" s="43" customFormat="1" ht="22.5" x14ac:dyDescent="0.25">
      <c r="A203" s="38" t="s">
        <v>29</v>
      </c>
      <c r="B203" s="23">
        <v>132</v>
      </c>
      <c r="C203" s="41" t="s">
        <v>587</v>
      </c>
      <c r="D203" s="70"/>
      <c r="E203" s="2"/>
      <c r="F203" s="2"/>
      <c r="G203" s="26"/>
      <c r="H203" s="27"/>
      <c r="I203" s="27"/>
      <c r="J203" s="28"/>
      <c r="K203" s="20"/>
      <c r="L203" s="39"/>
      <c r="M203" s="61">
        <v>49863.56</v>
      </c>
      <c r="N203" s="32"/>
      <c r="O203" s="28"/>
      <c r="P203" s="40"/>
      <c r="Q203" s="26"/>
      <c r="R203" s="26"/>
      <c r="S203" s="26"/>
      <c r="T203" s="26"/>
    </row>
    <row r="204" spans="1:20" s="43" customFormat="1" ht="22.5" x14ac:dyDescent="0.25">
      <c r="A204" s="38" t="s">
        <v>29</v>
      </c>
      <c r="B204" s="23">
        <v>132</v>
      </c>
      <c r="C204" s="41" t="s">
        <v>588</v>
      </c>
      <c r="D204" s="70"/>
      <c r="E204" s="2"/>
      <c r="F204" s="2"/>
      <c r="G204" s="26"/>
      <c r="H204" s="27"/>
      <c r="I204" s="27"/>
      <c r="J204" s="28"/>
      <c r="K204" s="20"/>
      <c r="L204" s="39"/>
      <c r="M204" s="61">
        <v>-46224.56</v>
      </c>
      <c r="N204" s="32"/>
      <c r="O204" s="28"/>
      <c r="P204" s="40"/>
      <c r="Q204" s="26"/>
      <c r="R204" s="26"/>
      <c r="S204" s="26"/>
      <c r="T204" s="26"/>
    </row>
    <row r="205" spans="1:20" s="43" customFormat="1" ht="78.75" x14ac:dyDescent="0.25">
      <c r="A205" s="41" t="s">
        <v>18</v>
      </c>
      <c r="B205" s="23">
        <v>133</v>
      </c>
      <c r="C205" s="41" t="s">
        <v>589</v>
      </c>
      <c r="D205" s="70" t="s">
        <v>590</v>
      </c>
      <c r="E205" s="2">
        <v>210000</v>
      </c>
      <c r="F205" s="2">
        <f>198600+2900</f>
        <v>201500</v>
      </c>
      <c r="G205" s="27" t="s">
        <v>19</v>
      </c>
      <c r="H205" s="27" t="s">
        <v>19</v>
      </c>
      <c r="I205" s="29" t="s">
        <v>591</v>
      </c>
      <c r="J205" s="28">
        <v>43413</v>
      </c>
      <c r="K205" s="20" t="s">
        <v>592</v>
      </c>
      <c r="L205" s="39">
        <v>0.1825</v>
      </c>
      <c r="M205" s="61">
        <v>165255.5</v>
      </c>
      <c r="N205" s="32">
        <v>43427</v>
      </c>
      <c r="O205" s="28">
        <v>43479</v>
      </c>
      <c r="P205" s="40">
        <v>120</v>
      </c>
      <c r="Q205" s="26">
        <v>43612</v>
      </c>
      <c r="R205" s="26"/>
      <c r="S205" s="26">
        <v>43714</v>
      </c>
      <c r="T205" s="26">
        <v>43735</v>
      </c>
    </row>
    <row r="206" spans="1:20" s="43" customFormat="1" ht="22.5" x14ac:dyDescent="0.25">
      <c r="A206" s="41" t="s">
        <v>18</v>
      </c>
      <c r="B206" s="53" t="s">
        <v>593</v>
      </c>
      <c r="C206" s="41" t="s">
        <v>594</v>
      </c>
      <c r="D206" s="70"/>
      <c r="E206" s="2"/>
      <c r="F206" s="2"/>
      <c r="G206" s="27"/>
      <c r="H206" s="27"/>
      <c r="I206" s="29"/>
      <c r="J206" s="28"/>
      <c r="K206" s="20"/>
      <c r="L206" s="39"/>
      <c r="M206" s="61">
        <v>8220</v>
      </c>
      <c r="N206" s="32"/>
      <c r="O206" s="28"/>
      <c r="P206" s="40"/>
      <c r="Q206" s="26"/>
      <c r="R206" s="26"/>
      <c r="S206" s="26"/>
      <c r="T206" s="26"/>
    </row>
    <row r="207" spans="1:20" s="43" customFormat="1" ht="153" x14ac:dyDescent="0.25">
      <c r="A207" s="38" t="s">
        <v>29</v>
      </c>
      <c r="B207" s="23">
        <v>134</v>
      </c>
      <c r="C207" s="71" t="s">
        <v>595</v>
      </c>
      <c r="D207" s="38" t="s">
        <v>596</v>
      </c>
      <c r="E207" s="2">
        <v>2300000</v>
      </c>
      <c r="F207" s="2">
        <f>2184008.09+43721.35</f>
        <v>2227729.44</v>
      </c>
      <c r="G207" s="26" t="s">
        <v>597</v>
      </c>
      <c r="H207" s="27" t="s">
        <v>19</v>
      </c>
      <c r="I207" s="27" t="s">
        <v>19</v>
      </c>
      <c r="J207" s="28">
        <v>43451</v>
      </c>
      <c r="K207" s="28" t="s">
        <v>598</v>
      </c>
      <c r="L207" s="39">
        <v>8.4099999999999994E-2</v>
      </c>
      <c r="M207" s="61">
        <v>2044054.36</v>
      </c>
      <c r="N207" s="32">
        <v>43531</v>
      </c>
      <c r="O207" s="28" t="s">
        <v>1638</v>
      </c>
      <c r="P207" s="40">
        <v>560</v>
      </c>
      <c r="Q207" s="26">
        <v>43599</v>
      </c>
      <c r="R207" s="26">
        <v>43619</v>
      </c>
      <c r="S207" s="26">
        <v>44404</v>
      </c>
      <c r="T207" s="26">
        <v>44494</v>
      </c>
    </row>
    <row r="208" spans="1:20" s="43" customFormat="1" ht="56.25" x14ac:dyDescent="0.25">
      <c r="A208" s="38" t="s">
        <v>29</v>
      </c>
      <c r="B208" s="53" t="s">
        <v>599</v>
      </c>
      <c r="C208" s="41" t="s">
        <v>600</v>
      </c>
      <c r="D208" s="38"/>
      <c r="E208" s="2"/>
      <c r="F208" s="2"/>
      <c r="G208" s="26"/>
      <c r="H208" s="27"/>
      <c r="I208" s="27"/>
      <c r="J208" s="28"/>
      <c r="K208" s="28"/>
      <c r="L208" s="39"/>
      <c r="M208" s="61">
        <v>92167.94</v>
      </c>
      <c r="N208" s="32"/>
      <c r="O208" s="28"/>
      <c r="P208" s="40"/>
      <c r="Q208" s="26"/>
      <c r="R208" s="26"/>
      <c r="S208" s="26"/>
      <c r="T208" s="26"/>
    </row>
    <row r="209" spans="1:20" s="43" customFormat="1" ht="56.25" x14ac:dyDescent="0.25">
      <c r="A209" s="38" t="s">
        <v>29</v>
      </c>
      <c r="B209" s="53" t="s">
        <v>601</v>
      </c>
      <c r="C209" s="41" t="s">
        <v>602</v>
      </c>
      <c r="D209" s="38"/>
      <c r="E209" s="2"/>
      <c r="F209" s="2"/>
      <c r="G209" s="26"/>
      <c r="H209" s="27"/>
      <c r="I209" s="27"/>
      <c r="J209" s="28"/>
      <c r="K209" s="28"/>
      <c r="L209" s="39"/>
      <c r="M209" s="61">
        <v>71965.919999999998</v>
      </c>
      <c r="N209" s="32"/>
      <c r="O209" s="28"/>
      <c r="P209" s="40"/>
      <c r="Q209" s="26"/>
      <c r="R209" s="26"/>
      <c r="S209" s="26"/>
      <c r="T209" s="26"/>
    </row>
    <row r="210" spans="1:20" s="43" customFormat="1" ht="45.75" thickBot="1" x14ac:dyDescent="0.3">
      <c r="A210" s="38" t="s">
        <v>29</v>
      </c>
      <c r="B210" s="53" t="s">
        <v>603</v>
      </c>
      <c r="C210" s="80" t="s">
        <v>604</v>
      </c>
      <c r="D210" s="38"/>
      <c r="E210" s="2"/>
      <c r="F210" s="2"/>
      <c r="G210" s="26"/>
      <c r="H210" s="27"/>
      <c r="I210" s="27"/>
      <c r="J210" s="28"/>
      <c r="K210" s="28"/>
      <c r="L210" s="39"/>
      <c r="M210" s="61">
        <v>49130.61</v>
      </c>
      <c r="N210" s="32"/>
      <c r="O210" s="28"/>
      <c r="P210" s="40"/>
      <c r="Q210" s="26"/>
      <c r="R210" s="26"/>
      <c r="S210" s="26"/>
      <c r="T210" s="26"/>
    </row>
    <row r="211" spans="1:20" s="43" customFormat="1" ht="45.75" thickBot="1" x14ac:dyDescent="0.3">
      <c r="A211" s="38" t="s">
        <v>29</v>
      </c>
      <c r="B211" s="53" t="s">
        <v>605</v>
      </c>
      <c r="C211" s="80" t="s">
        <v>606</v>
      </c>
      <c r="D211" s="72"/>
      <c r="E211" s="2"/>
      <c r="F211" s="2"/>
      <c r="G211" s="26"/>
      <c r="H211" s="27"/>
      <c r="I211" s="27"/>
      <c r="J211" s="28"/>
      <c r="K211" s="28"/>
      <c r="L211" s="39"/>
      <c r="M211" s="61">
        <v>12315.71</v>
      </c>
      <c r="N211" s="32"/>
      <c r="O211" s="28"/>
      <c r="P211" s="40"/>
      <c r="Q211" s="26"/>
      <c r="R211" s="26"/>
      <c r="S211" s="26"/>
      <c r="T211" s="26"/>
    </row>
    <row r="212" spans="1:20" s="43" customFormat="1" ht="67.5" x14ac:dyDescent="0.25">
      <c r="A212" s="38" t="s">
        <v>18</v>
      </c>
      <c r="B212" s="73">
        <v>135</v>
      </c>
      <c r="C212" s="74" t="s">
        <v>607</v>
      </c>
      <c r="D212" s="72">
        <v>182</v>
      </c>
      <c r="E212" s="2">
        <v>780560.84</v>
      </c>
      <c r="F212" s="2">
        <f>713185.57+10681.9</f>
        <v>723867.47</v>
      </c>
      <c r="G212" s="26" t="s">
        <v>608</v>
      </c>
      <c r="H212" s="27" t="s">
        <v>19</v>
      </c>
      <c r="I212" s="27" t="s">
        <v>19</v>
      </c>
      <c r="J212" s="28">
        <v>43487</v>
      </c>
      <c r="K212" s="28" t="s">
        <v>609</v>
      </c>
      <c r="L212" s="35">
        <v>0.30010999999999999</v>
      </c>
      <c r="M212" s="61">
        <v>509833.35</v>
      </c>
      <c r="N212" s="32">
        <v>43543</v>
      </c>
      <c r="O212" s="28" t="s">
        <v>1639</v>
      </c>
      <c r="P212" s="40">
        <v>245</v>
      </c>
      <c r="Q212" s="26">
        <v>43710</v>
      </c>
      <c r="R212" s="26" t="s">
        <v>610</v>
      </c>
      <c r="S212" s="26">
        <v>44379</v>
      </c>
      <c r="T212" s="26">
        <v>44592</v>
      </c>
    </row>
    <row r="213" spans="1:20" s="43" customFormat="1" ht="22.5" x14ac:dyDescent="0.25">
      <c r="A213" s="38" t="s">
        <v>18</v>
      </c>
      <c r="B213" s="75" t="s">
        <v>611</v>
      </c>
      <c r="C213" s="76" t="s">
        <v>612</v>
      </c>
      <c r="D213" s="72"/>
      <c r="E213" s="2"/>
      <c r="F213" s="2"/>
      <c r="G213" s="26"/>
      <c r="H213" s="27"/>
      <c r="I213" s="27"/>
      <c r="J213" s="28"/>
      <c r="K213" s="28"/>
      <c r="L213" s="35"/>
      <c r="M213" s="61">
        <v>94748.08</v>
      </c>
      <c r="N213" s="32"/>
      <c r="O213" s="28"/>
      <c r="P213" s="40"/>
      <c r="Q213" s="26"/>
      <c r="R213" s="26"/>
      <c r="S213" s="26"/>
      <c r="T213" s="26"/>
    </row>
    <row r="214" spans="1:20" s="43" customFormat="1" ht="34.5" thickBot="1" x14ac:dyDescent="0.3">
      <c r="A214" s="38" t="s">
        <v>18</v>
      </c>
      <c r="B214" s="75" t="s">
        <v>613</v>
      </c>
      <c r="C214" s="80" t="s">
        <v>614</v>
      </c>
      <c r="D214" s="72"/>
      <c r="E214" s="2"/>
      <c r="F214" s="2"/>
      <c r="G214" s="26"/>
      <c r="H214" s="27"/>
      <c r="I214" s="27"/>
      <c r="J214" s="28"/>
      <c r="K214" s="28"/>
      <c r="L214" s="35"/>
      <c r="M214" s="61">
        <v>18453.91</v>
      </c>
      <c r="N214" s="32"/>
      <c r="O214" s="28"/>
      <c r="P214" s="40"/>
      <c r="Q214" s="26"/>
      <c r="R214" s="26"/>
      <c r="S214" s="26"/>
      <c r="T214" s="26"/>
    </row>
    <row r="215" spans="1:20" s="43" customFormat="1" ht="78.75" x14ac:dyDescent="0.25">
      <c r="A215" s="77" t="s">
        <v>489</v>
      </c>
      <c r="B215" s="23">
        <v>136</v>
      </c>
      <c r="C215" s="78" t="s">
        <v>615</v>
      </c>
      <c r="D215" s="38">
        <v>240</v>
      </c>
      <c r="E215" s="2">
        <f>480000+20000</f>
        <v>500000</v>
      </c>
      <c r="F215" s="2">
        <f>480000+20000</f>
        <v>500000</v>
      </c>
      <c r="G215" s="26" t="s">
        <v>616</v>
      </c>
      <c r="H215" s="27" t="s">
        <v>19</v>
      </c>
      <c r="I215" s="27" t="s">
        <v>19</v>
      </c>
      <c r="J215" s="28">
        <v>43493</v>
      </c>
      <c r="K215" s="28" t="s">
        <v>617</v>
      </c>
      <c r="L215" s="35">
        <v>0.26472000000000001</v>
      </c>
      <c r="M215" s="61">
        <v>500000</v>
      </c>
      <c r="N215" s="32">
        <v>43507</v>
      </c>
      <c r="O215" s="28" t="s">
        <v>1640</v>
      </c>
      <c r="P215" s="79" t="s">
        <v>1503</v>
      </c>
      <c r="Q215" s="26">
        <v>43612</v>
      </c>
      <c r="R215" s="26"/>
      <c r="S215" s="26"/>
      <c r="T215" s="26"/>
    </row>
    <row r="216" spans="1:20" s="43" customFormat="1" ht="78.75" x14ac:dyDescent="0.25">
      <c r="A216" s="41" t="s">
        <v>18</v>
      </c>
      <c r="B216" s="23">
        <v>137</v>
      </c>
      <c r="C216" s="41" t="s">
        <v>618</v>
      </c>
      <c r="D216" s="38" t="s">
        <v>619</v>
      </c>
      <c r="E216" s="6">
        <v>683107.83</v>
      </c>
      <c r="F216" s="2">
        <f>622837.86+13532.14</f>
        <v>636370</v>
      </c>
      <c r="G216" s="26" t="s">
        <v>620</v>
      </c>
      <c r="H216" s="27" t="s">
        <v>19</v>
      </c>
      <c r="I216" s="27" t="s">
        <v>19</v>
      </c>
      <c r="J216" s="28">
        <v>43543</v>
      </c>
      <c r="K216" s="20" t="s">
        <v>497</v>
      </c>
      <c r="L216" s="39">
        <v>0.26800000000000002</v>
      </c>
      <c r="M216" s="61">
        <v>469449.45</v>
      </c>
      <c r="N216" s="32">
        <v>43559</v>
      </c>
      <c r="O216" s="28">
        <v>43598</v>
      </c>
      <c r="P216" s="40">
        <v>294</v>
      </c>
      <c r="Q216" s="26">
        <v>43644</v>
      </c>
      <c r="R216" s="26" t="s">
        <v>621</v>
      </c>
      <c r="S216" s="148" t="s">
        <v>1502</v>
      </c>
      <c r="T216" s="26">
        <v>44071</v>
      </c>
    </row>
    <row r="217" spans="1:20" s="43" customFormat="1" ht="33.75" x14ac:dyDescent="0.25">
      <c r="A217" s="41" t="s">
        <v>18</v>
      </c>
      <c r="B217" s="53" t="s">
        <v>622</v>
      </c>
      <c r="C217" s="41" t="s">
        <v>623</v>
      </c>
      <c r="D217" s="38"/>
      <c r="E217" s="6"/>
      <c r="F217" s="2"/>
      <c r="G217" s="26"/>
      <c r="H217" s="27"/>
      <c r="I217" s="27"/>
      <c r="J217" s="28"/>
      <c r="K217" s="20"/>
      <c r="L217" s="39"/>
      <c r="M217" s="61">
        <v>80428.289999999994</v>
      </c>
      <c r="N217" s="32"/>
      <c r="O217" s="28"/>
      <c r="P217" s="40"/>
      <c r="Q217" s="26"/>
      <c r="R217" s="26"/>
      <c r="S217" s="22"/>
      <c r="T217" s="26"/>
    </row>
    <row r="218" spans="1:20" s="43" customFormat="1" ht="67.5" x14ac:dyDescent="0.25">
      <c r="A218" s="41" t="s">
        <v>18</v>
      </c>
      <c r="B218" s="23">
        <v>138</v>
      </c>
      <c r="C218" s="41" t="s">
        <v>624</v>
      </c>
      <c r="D218" s="38" t="s">
        <v>625</v>
      </c>
      <c r="E218" s="6">
        <v>649709.53</v>
      </c>
      <c r="F218" s="2">
        <f>531759.14+45135.46</f>
        <v>576894.6</v>
      </c>
      <c r="G218" s="26" t="s">
        <v>626</v>
      </c>
      <c r="H218" s="27" t="s">
        <v>19</v>
      </c>
      <c r="I218" s="27" t="s">
        <v>19</v>
      </c>
      <c r="J218" s="28">
        <v>43550</v>
      </c>
      <c r="K218" s="38" t="s">
        <v>627</v>
      </c>
      <c r="L218" s="35">
        <v>0.26427</v>
      </c>
      <c r="M218" s="61">
        <v>436366.61</v>
      </c>
      <c r="N218" s="32">
        <v>43563</v>
      </c>
      <c r="O218" s="28" t="s">
        <v>1640</v>
      </c>
      <c r="P218" s="40">
        <v>160</v>
      </c>
      <c r="Q218" s="26" t="s">
        <v>628</v>
      </c>
      <c r="R218" s="26"/>
      <c r="S218" s="26">
        <v>44127</v>
      </c>
      <c r="T218" s="26">
        <v>44151</v>
      </c>
    </row>
    <row r="219" spans="1:20" s="43" customFormat="1" ht="112.5" x14ac:dyDescent="0.25">
      <c r="A219" s="41" t="s">
        <v>21</v>
      </c>
      <c r="B219" s="23">
        <v>139</v>
      </c>
      <c r="C219" s="41" t="s">
        <v>1641</v>
      </c>
      <c r="D219" s="38" t="s">
        <v>629</v>
      </c>
      <c r="E219" s="6">
        <v>4619105</v>
      </c>
      <c r="F219" s="2">
        <f>4338067.35+42032.45</f>
        <v>4380099.8</v>
      </c>
      <c r="G219" s="26" t="s">
        <v>630</v>
      </c>
      <c r="H219" s="27" t="s">
        <v>19</v>
      </c>
      <c r="I219" s="27" t="s">
        <v>19</v>
      </c>
      <c r="J219" s="28">
        <v>43563</v>
      </c>
      <c r="K219" s="20" t="s">
        <v>1642</v>
      </c>
      <c r="L219" s="35">
        <v>0.27777000000000002</v>
      </c>
      <c r="M219" s="61">
        <v>3175114.83</v>
      </c>
      <c r="N219" s="32">
        <v>43621</v>
      </c>
      <c r="O219" s="26" t="s">
        <v>1643</v>
      </c>
      <c r="P219" s="40">
        <v>350</v>
      </c>
      <c r="Q219" s="26">
        <v>43710</v>
      </c>
      <c r="R219" s="26">
        <v>43725</v>
      </c>
      <c r="S219" s="26" t="s">
        <v>631</v>
      </c>
      <c r="T219" s="26">
        <v>44305</v>
      </c>
    </row>
    <row r="220" spans="1:20" s="43" customFormat="1" ht="22.5" x14ac:dyDescent="0.25">
      <c r="A220" s="41" t="s">
        <v>21</v>
      </c>
      <c r="B220" s="53" t="s">
        <v>632</v>
      </c>
      <c r="C220" s="41" t="s">
        <v>633</v>
      </c>
      <c r="D220" s="38"/>
      <c r="E220" s="6"/>
      <c r="F220" s="2"/>
      <c r="G220" s="26"/>
      <c r="H220" s="27"/>
      <c r="I220" s="27"/>
      <c r="J220" s="28"/>
      <c r="K220" s="128"/>
      <c r="L220" s="35"/>
      <c r="M220" s="61">
        <v>158734.96</v>
      </c>
      <c r="N220" s="32"/>
      <c r="O220" s="26"/>
      <c r="P220" s="40"/>
      <c r="Q220" s="26"/>
      <c r="R220" s="26"/>
      <c r="S220" s="26"/>
      <c r="T220" s="26"/>
    </row>
    <row r="221" spans="1:20" s="43" customFormat="1" ht="112.5" x14ac:dyDescent="0.25">
      <c r="A221" s="41" t="s">
        <v>21</v>
      </c>
      <c r="B221" s="23">
        <v>140</v>
      </c>
      <c r="C221" s="41" t="s">
        <v>1644</v>
      </c>
      <c r="D221" s="38" t="s">
        <v>634</v>
      </c>
      <c r="E221" s="33">
        <v>829236.73</v>
      </c>
      <c r="F221" s="2">
        <f>691387.65+62417.59</f>
        <v>753805.24</v>
      </c>
      <c r="G221" s="26" t="s">
        <v>635</v>
      </c>
      <c r="H221" s="27" t="s">
        <v>19</v>
      </c>
      <c r="I221" s="27" t="s">
        <v>19</v>
      </c>
      <c r="J221" s="28">
        <v>43558</v>
      </c>
      <c r="K221" s="38" t="s">
        <v>636</v>
      </c>
      <c r="L221" s="39">
        <v>0.25569999999999998</v>
      </c>
      <c r="M221" s="61">
        <v>577017.42000000004</v>
      </c>
      <c r="N221" s="32">
        <v>43591</v>
      </c>
      <c r="O221" s="26" t="s">
        <v>1645</v>
      </c>
      <c r="P221" s="40">
        <v>266</v>
      </c>
      <c r="Q221" s="26">
        <v>43629</v>
      </c>
      <c r="R221" s="26" t="s">
        <v>637</v>
      </c>
      <c r="S221" s="26">
        <v>44439</v>
      </c>
      <c r="T221" s="26">
        <v>44691</v>
      </c>
    </row>
    <row r="222" spans="1:20" s="43" customFormat="1" ht="22.5" x14ac:dyDescent="0.25">
      <c r="A222" s="41" t="s">
        <v>21</v>
      </c>
      <c r="B222" s="53" t="s">
        <v>638</v>
      </c>
      <c r="C222" s="41" t="s">
        <v>639</v>
      </c>
      <c r="D222" s="38"/>
      <c r="E222" s="33"/>
      <c r="F222" s="2"/>
      <c r="G222" s="26"/>
      <c r="H222" s="27"/>
      <c r="I222" s="27"/>
      <c r="J222" s="28"/>
      <c r="K222" s="38"/>
      <c r="L222" s="39"/>
      <c r="M222" s="61">
        <v>12408.62</v>
      </c>
      <c r="N222" s="32"/>
      <c r="O222" s="26"/>
      <c r="P222" s="40"/>
      <c r="Q222" s="26"/>
      <c r="R222" s="26"/>
      <c r="S222" s="26"/>
      <c r="T222" s="26"/>
    </row>
    <row r="223" spans="1:20" s="43" customFormat="1" ht="78.75" x14ac:dyDescent="0.25">
      <c r="A223" s="38" t="s">
        <v>29</v>
      </c>
      <c r="B223" s="23">
        <v>141</v>
      </c>
      <c r="C223" s="41" t="s">
        <v>640</v>
      </c>
      <c r="D223" s="38" t="s">
        <v>641</v>
      </c>
      <c r="E223" s="6">
        <v>350000</v>
      </c>
      <c r="F223" s="2">
        <f>302508.92+23365.12</f>
        <v>325874.03999999998</v>
      </c>
      <c r="G223" s="26" t="s">
        <v>642</v>
      </c>
      <c r="H223" s="27" t="s">
        <v>19</v>
      </c>
      <c r="I223" s="27" t="s">
        <v>19</v>
      </c>
      <c r="J223" s="28">
        <v>43594</v>
      </c>
      <c r="K223" s="38" t="s">
        <v>643</v>
      </c>
      <c r="L223" s="35">
        <v>0.25931999999999999</v>
      </c>
      <c r="M223" s="61">
        <v>247427.43</v>
      </c>
      <c r="N223" s="32">
        <v>43615</v>
      </c>
      <c r="O223" s="26" t="s">
        <v>1646</v>
      </c>
      <c r="P223" s="40">
        <v>180</v>
      </c>
      <c r="Q223" s="26">
        <v>43724</v>
      </c>
      <c r="R223" s="26" t="s">
        <v>1647</v>
      </c>
      <c r="S223" s="26">
        <v>44054</v>
      </c>
      <c r="T223" s="26">
        <v>44134</v>
      </c>
    </row>
    <row r="224" spans="1:20" s="43" customFormat="1" ht="22.5" x14ac:dyDescent="0.25">
      <c r="A224" s="38" t="s">
        <v>29</v>
      </c>
      <c r="B224" s="53" t="s">
        <v>644</v>
      </c>
      <c r="C224" s="41" t="s">
        <v>645</v>
      </c>
      <c r="D224" s="38"/>
      <c r="E224" s="6"/>
      <c r="F224" s="2"/>
      <c r="G224" s="26"/>
      <c r="H224" s="27"/>
      <c r="I224" s="27"/>
      <c r="J224" s="28"/>
      <c r="K224" s="38"/>
      <c r="L224" s="35"/>
      <c r="M224" s="61">
        <v>57162.14</v>
      </c>
      <c r="N224" s="32"/>
      <c r="O224" s="26"/>
      <c r="P224" s="40"/>
      <c r="Q224" s="26"/>
      <c r="R224" s="26"/>
      <c r="S224" s="26"/>
      <c r="T224" s="26"/>
    </row>
    <row r="225" spans="1:20" s="43" customFormat="1" ht="189" x14ac:dyDescent="0.25">
      <c r="A225" s="38" t="s">
        <v>29</v>
      </c>
      <c r="B225" s="23">
        <v>142</v>
      </c>
      <c r="C225" s="71" t="s">
        <v>1648</v>
      </c>
      <c r="D225" s="38" t="s">
        <v>646</v>
      </c>
      <c r="E225" s="6">
        <v>2595000</v>
      </c>
      <c r="F225" s="2">
        <f>2409945.98+82780.16</f>
        <v>2492726.14</v>
      </c>
      <c r="G225" s="26" t="s">
        <v>647</v>
      </c>
      <c r="H225" s="27" t="s">
        <v>19</v>
      </c>
      <c r="I225" s="27" t="s">
        <v>19</v>
      </c>
      <c r="J225" s="28">
        <v>43601</v>
      </c>
      <c r="K225" s="39" t="s">
        <v>648</v>
      </c>
      <c r="L225" s="35">
        <v>0.25751000000000002</v>
      </c>
      <c r="M225" s="61">
        <v>1872140.95</v>
      </c>
      <c r="N225" s="32">
        <v>43672</v>
      </c>
      <c r="O225" s="26" t="s">
        <v>1649</v>
      </c>
      <c r="P225" s="40">
        <v>670</v>
      </c>
      <c r="Q225" s="26">
        <v>43714</v>
      </c>
      <c r="R225" s="26">
        <v>43721</v>
      </c>
      <c r="S225" s="26">
        <v>44830</v>
      </c>
      <c r="T225" s="28">
        <v>45471</v>
      </c>
    </row>
    <row r="226" spans="1:20" s="43" customFormat="1" ht="11.25" x14ac:dyDescent="0.25">
      <c r="A226" s="38"/>
      <c r="B226" s="23"/>
      <c r="C226" s="121" t="s">
        <v>649</v>
      </c>
      <c r="D226" s="38"/>
      <c r="E226" s="6"/>
      <c r="F226" s="2"/>
      <c r="G226" s="26"/>
      <c r="H226" s="27"/>
      <c r="I226" s="27"/>
      <c r="J226" s="28"/>
      <c r="K226" s="39"/>
      <c r="L226" s="35"/>
      <c r="M226" s="61">
        <v>25367.599999999999</v>
      </c>
      <c r="N226" s="32"/>
      <c r="O226" s="26"/>
      <c r="P226" s="40"/>
      <c r="Q226" s="26"/>
      <c r="R226" s="26"/>
      <c r="S226" s="26"/>
      <c r="T226" s="28"/>
    </row>
    <row r="227" spans="1:20" s="43" customFormat="1" ht="11.25" x14ac:dyDescent="0.25">
      <c r="A227" s="38"/>
      <c r="B227" s="23"/>
      <c r="C227" s="121" t="s">
        <v>650</v>
      </c>
      <c r="D227" s="38"/>
      <c r="E227" s="6"/>
      <c r="F227" s="2"/>
      <c r="G227" s="26"/>
      <c r="H227" s="27"/>
      <c r="I227" s="27"/>
      <c r="J227" s="28"/>
      <c r="K227" s="39"/>
      <c r="L227" s="35"/>
      <c r="M227" s="61">
        <v>32573.43</v>
      </c>
      <c r="N227" s="32"/>
      <c r="O227" s="26"/>
      <c r="P227" s="40"/>
      <c r="Q227" s="26"/>
      <c r="R227" s="26"/>
      <c r="S227" s="26"/>
      <c r="T227" s="28"/>
    </row>
    <row r="228" spans="1:20" s="43" customFormat="1" ht="78.75" x14ac:dyDescent="0.25">
      <c r="A228" s="38" t="s">
        <v>29</v>
      </c>
      <c r="B228" s="23"/>
      <c r="C228" s="121" t="s">
        <v>651</v>
      </c>
      <c r="D228" s="38"/>
      <c r="E228" s="6"/>
      <c r="F228" s="2"/>
      <c r="G228" s="26"/>
      <c r="H228" s="27"/>
      <c r="I228" s="27"/>
      <c r="J228" s="28"/>
      <c r="K228" s="39"/>
      <c r="L228" s="35"/>
      <c r="M228" s="61">
        <v>62659.83</v>
      </c>
      <c r="N228" s="32"/>
      <c r="O228" s="26"/>
      <c r="P228" s="40"/>
      <c r="Q228" s="26"/>
      <c r="R228" s="26"/>
      <c r="S228" s="28"/>
      <c r="T228" s="26"/>
    </row>
    <row r="229" spans="1:20" s="43" customFormat="1" ht="78.75" x14ac:dyDescent="0.25">
      <c r="A229" s="38" t="s">
        <v>29</v>
      </c>
      <c r="B229" s="23"/>
      <c r="C229" s="121" t="s">
        <v>652</v>
      </c>
      <c r="D229" s="38"/>
      <c r="E229" s="6"/>
      <c r="F229" s="2"/>
      <c r="G229" s="26"/>
      <c r="H229" s="27"/>
      <c r="I229" s="27"/>
      <c r="J229" s="28"/>
      <c r="K229" s="39"/>
      <c r="L229" s="35"/>
      <c r="M229" s="61">
        <v>10930</v>
      </c>
      <c r="N229" s="32"/>
      <c r="O229" s="26"/>
      <c r="P229" s="40"/>
      <c r="Q229" s="26"/>
      <c r="R229" s="26"/>
      <c r="S229" s="28"/>
      <c r="T229" s="26"/>
    </row>
    <row r="230" spans="1:20" s="43" customFormat="1" ht="45" x14ac:dyDescent="0.25">
      <c r="A230" s="38" t="s">
        <v>29</v>
      </c>
      <c r="B230" s="23"/>
      <c r="C230" s="121" t="s">
        <v>653</v>
      </c>
      <c r="D230" s="38"/>
      <c r="E230" s="6"/>
      <c r="F230" s="2"/>
      <c r="G230" s="26"/>
      <c r="H230" s="27"/>
      <c r="I230" s="27"/>
      <c r="J230" s="28"/>
      <c r="K230" s="39"/>
      <c r="L230" s="35"/>
      <c r="M230" s="61">
        <v>60862.559999999998</v>
      </c>
      <c r="N230" s="32"/>
      <c r="O230" s="26"/>
      <c r="P230" s="40"/>
      <c r="Q230" s="26"/>
      <c r="R230" s="26"/>
      <c r="S230" s="28"/>
      <c r="T230" s="26"/>
    </row>
    <row r="231" spans="1:20" s="43" customFormat="1" ht="11.25" x14ac:dyDescent="0.25">
      <c r="A231" s="38" t="s">
        <v>29</v>
      </c>
      <c r="B231" s="23"/>
      <c r="C231" s="121" t="s">
        <v>654</v>
      </c>
      <c r="D231" s="38"/>
      <c r="E231" s="6"/>
      <c r="F231" s="2"/>
      <c r="G231" s="26"/>
      <c r="H231" s="27"/>
      <c r="I231" s="27"/>
      <c r="J231" s="28"/>
      <c r="K231" s="39"/>
      <c r="L231" s="35"/>
      <c r="M231" s="61">
        <v>106135.55</v>
      </c>
      <c r="N231" s="32"/>
      <c r="O231" s="26"/>
      <c r="P231" s="40"/>
      <c r="Q231" s="26"/>
      <c r="R231" s="26"/>
      <c r="S231" s="28"/>
      <c r="T231" s="26"/>
    </row>
    <row r="232" spans="1:20" s="43" customFormat="1" ht="108" x14ac:dyDescent="0.25">
      <c r="A232" s="41" t="s">
        <v>18</v>
      </c>
      <c r="B232" s="23">
        <v>143</v>
      </c>
      <c r="C232" s="71" t="s">
        <v>655</v>
      </c>
      <c r="D232" s="38" t="s">
        <v>656</v>
      </c>
      <c r="E232" s="6">
        <v>667492.67000000004</v>
      </c>
      <c r="F232" s="2">
        <f>474945.09+46787.67</f>
        <v>521732.76</v>
      </c>
      <c r="G232" s="26" t="s">
        <v>657</v>
      </c>
      <c r="H232" s="27" t="s">
        <v>19</v>
      </c>
      <c r="I232" s="27" t="s">
        <v>19</v>
      </c>
      <c r="J232" s="28">
        <v>43609</v>
      </c>
      <c r="K232" s="38" t="s">
        <v>658</v>
      </c>
      <c r="L232" s="35">
        <v>0.26123000000000002</v>
      </c>
      <c r="M232" s="61">
        <v>397662.85</v>
      </c>
      <c r="N232" s="32">
        <v>43634</v>
      </c>
      <c r="O232" s="26" t="s">
        <v>1650</v>
      </c>
      <c r="P232" s="40">
        <v>261</v>
      </c>
      <c r="Q232" s="26" t="s">
        <v>659</v>
      </c>
      <c r="R232" s="26" t="s">
        <v>660</v>
      </c>
      <c r="S232" s="149" t="s">
        <v>1651</v>
      </c>
      <c r="T232" s="26">
        <v>44277</v>
      </c>
    </row>
    <row r="233" spans="1:20" s="43" customFormat="1" ht="18" x14ac:dyDescent="0.25">
      <c r="A233" s="41" t="s">
        <v>18</v>
      </c>
      <c r="B233" s="53" t="s">
        <v>661</v>
      </c>
      <c r="C233" s="71" t="s">
        <v>662</v>
      </c>
      <c r="D233" s="38"/>
      <c r="E233" s="6"/>
      <c r="F233" s="2"/>
      <c r="G233" s="26"/>
      <c r="H233" s="27"/>
      <c r="I233" s="27"/>
      <c r="J233" s="28"/>
      <c r="K233" s="38"/>
      <c r="L233" s="35"/>
      <c r="M233" s="61">
        <v>18693.55</v>
      </c>
      <c r="N233" s="32"/>
      <c r="O233" s="26"/>
      <c r="P233" s="40"/>
      <c r="Q233" s="26"/>
      <c r="R233" s="26"/>
      <c r="S233" s="26"/>
      <c r="T233" s="24"/>
    </row>
    <row r="234" spans="1:20" s="43" customFormat="1" ht="78.75" x14ac:dyDescent="0.25">
      <c r="A234" s="41" t="s">
        <v>18</v>
      </c>
      <c r="B234" s="23">
        <v>144</v>
      </c>
      <c r="C234" s="71" t="s">
        <v>663</v>
      </c>
      <c r="D234" s="38" t="s">
        <v>656</v>
      </c>
      <c r="E234" s="3">
        <v>1785438.15</v>
      </c>
      <c r="F234" s="2">
        <f>1195872.94+120127.2</f>
        <v>1316000.1399999999</v>
      </c>
      <c r="G234" s="26" t="s">
        <v>664</v>
      </c>
      <c r="H234" s="27" t="s">
        <v>19</v>
      </c>
      <c r="I234" s="27" t="s">
        <v>19</v>
      </c>
      <c r="J234" s="28">
        <v>43628</v>
      </c>
      <c r="K234" s="38" t="s">
        <v>1652</v>
      </c>
      <c r="L234" s="35">
        <v>0.26311000000000001</v>
      </c>
      <c r="M234" s="61">
        <v>1001354.01</v>
      </c>
      <c r="N234" s="32">
        <v>43665</v>
      </c>
      <c r="O234" s="26" t="s">
        <v>1653</v>
      </c>
      <c r="P234" s="40">
        <v>336</v>
      </c>
      <c r="Q234" s="27" t="s">
        <v>1654</v>
      </c>
      <c r="R234" s="26" t="s">
        <v>665</v>
      </c>
      <c r="S234" s="26">
        <v>44358</v>
      </c>
      <c r="T234" s="26">
        <v>44448</v>
      </c>
    </row>
    <row r="235" spans="1:20" s="43" customFormat="1" ht="18" x14ac:dyDescent="0.25">
      <c r="A235" s="41" t="s">
        <v>18</v>
      </c>
      <c r="B235" s="53" t="s">
        <v>666</v>
      </c>
      <c r="C235" s="71" t="s">
        <v>667</v>
      </c>
      <c r="D235" s="38"/>
      <c r="E235" s="3"/>
      <c r="F235" s="2"/>
      <c r="G235" s="26"/>
      <c r="H235" s="27"/>
      <c r="I235" s="27"/>
      <c r="J235" s="28"/>
      <c r="K235" s="38"/>
      <c r="L235" s="35"/>
      <c r="M235" s="61">
        <v>129228.34</v>
      </c>
      <c r="N235" s="32"/>
      <c r="O235" s="26"/>
      <c r="P235" s="40"/>
      <c r="Q235" s="26"/>
      <c r="R235" s="26"/>
      <c r="S235" s="26"/>
      <c r="T235" s="26"/>
    </row>
    <row r="236" spans="1:20" s="43" customFormat="1" ht="27" x14ac:dyDescent="0.25">
      <c r="A236" s="41" t="s">
        <v>18</v>
      </c>
      <c r="B236" s="53" t="s">
        <v>668</v>
      </c>
      <c r="C236" s="71" t="s">
        <v>669</v>
      </c>
      <c r="D236" s="38"/>
      <c r="E236" s="3"/>
      <c r="F236" s="2"/>
      <c r="G236" s="26"/>
      <c r="H236" s="27"/>
      <c r="I236" s="27"/>
      <c r="J236" s="28"/>
      <c r="K236" s="38"/>
      <c r="L236" s="35"/>
      <c r="M236" s="61"/>
      <c r="N236" s="32"/>
      <c r="O236" s="26"/>
      <c r="P236" s="40"/>
      <c r="Q236" s="26"/>
      <c r="R236" s="26"/>
      <c r="S236" s="26"/>
      <c r="T236" s="26"/>
    </row>
    <row r="237" spans="1:20" s="43" customFormat="1" ht="171" x14ac:dyDescent="0.25">
      <c r="A237" s="41" t="s">
        <v>21</v>
      </c>
      <c r="B237" s="23">
        <v>145</v>
      </c>
      <c r="C237" s="71" t="s">
        <v>670</v>
      </c>
      <c r="D237" s="38" t="s">
        <v>671</v>
      </c>
      <c r="E237" s="6">
        <v>2280217.46</v>
      </c>
      <c r="F237" s="2">
        <f>2050751.51+62788.93</f>
        <v>2113540.44</v>
      </c>
      <c r="G237" s="41" t="s">
        <v>672</v>
      </c>
      <c r="H237" s="38" t="s">
        <v>19</v>
      </c>
      <c r="I237" s="38" t="s">
        <v>19</v>
      </c>
      <c r="J237" s="28">
        <v>43640</v>
      </c>
      <c r="K237" s="64" t="s">
        <v>673</v>
      </c>
      <c r="L237" s="39">
        <v>0.13170000000000001</v>
      </c>
      <c r="M237" s="65">
        <v>1843456.47</v>
      </c>
      <c r="N237" s="32">
        <v>43684</v>
      </c>
      <c r="O237" s="66" t="s">
        <v>1655</v>
      </c>
      <c r="P237" s="40" t="s">
        <v>1656</v>
      </c>
      <c r="Q237" s="115" t="s">
        <v>1657</v>
      </c>
      <c r="R237" s="26">
        <v>43748</v>
      </c>
      <c r="S237" s="26">
        <v>44407</v>
      </c>
      <c r="T237" s="26">
        <v>44721</v>
      </c>
    </row>
    <row r="238" spans="1:20" s="43" customFormat="1" ht="18" x14ac:dyDescent="0.25">
      <c r="A238" s="41" t="s">
        <v>21</v>
      </c>
      <c r="B238" s="53" t="s">
        <v>674</v>
      </c>
      <c r="C238" s="71" t="s">
        <v>675</v>
      </c>
      <c r="D238" s="38"/>
      <c r="E238" s="6"/>
      <c r="F238" s="2"/>
      <c r="G238" s="41"/>
      <c r="H238" s="38"/>
      <c r="I238" s="38"/>
      <c r="J238" s="28"/>
      <c r="K238" s="64"/>
      <c r="L238" s="39"/>
      <c r="M238" s="65">
        <v>88217.21</v>
      </c>
      <c r="N238" s="32"/>
      <c r="O238" s="66"/>
      <c r="P238" s="40"/>
      <c r="Q238" s="28"/>
      <c r="R238" s="26"/>
      <c r="S238" s="26"/>
      <c r="T238" s="26"/>
    </row>
    <row r="239" spans="1:20" s="43" customFormat="1" ht="101.25" x14ac:dyDescent="0.25">
      <c r="A239" s="38" t="s">
        <v>29</v>
      </c>
      <c r="B239" s="23">
        <v>146</v>
      </c>
      <c r="C239" s="41" t="s">
        <v>676</v>
      </c>
      <c r="D239" s="38" t="s">
        <v>677</v>
      </c>
      <c r="E239" s="6">
        <v>3500000</v>
      </c>
      <c r="F239" s="2">
        <f>3246255.27+58723.72</f>
        <v>3304978.99</v>
      </c>
      <c r="G239" s="41" t="s">
        <v>678</v>
      </c>
      <c r="H239" s="38" t="s">
        <v>19</v>
      </c>
      <c r="I239" s="38" t="s">
        <v>19</v>
      </c>
      <c r="J239" s="28">
        <v>43643</v>
      </c>
      <c r="K239" s="64" t="s">
        <v>679</v>
      </c>
      <c r="L239" s="35">
        <v>5.3659999999999999E-2</v>
      </c>
      <c r="M239" s="61">
        <v>3130784.93</v>
      </c>
      <c r="N239" s="32">
        <v>43677</v>
      </c>
      <c r="O239" s="150" t="s">
        <v>1658</v>
      </c>
      <c r="P239" s="40">
        <v>730</v>
      </c>
      <c r="Q239" s="26">
        <v>43728</v>
      </c>
      <c r="R239" s="26" t="s">
        <v>680</v>
      </c>
      <c r="S239" s="26">
        <v>44736</v>
      </c>
      <c r="T239" s="26">
        <v>44881</v>
      </c>
    </row>
    <row r="240" spans="1:20" s="43" customFormat="1" ht="45" x14ac:dyDescent="0.25">
      <c r="A240" s="38" t="s">
        <v>29</v>
      </c>
      <c r="B240" s="53" t="s">
        <v>681</v>
      </c>
      <c r="C240" s="41" t="s">
        <v>682</v>
      </c>
      <c r="D240" s="38" t="s">
        <v>677</v>
      </c>
      <c r="E240" s="6"/>
      <c r="F240" s="2"/>
      <c r="G240" s="41"/>
      <c r="H240" s="38"/>
      <c r="I240" s="38"/>
      <c r="J240" s="28"/>
      <c r="K240" s="64"/>
      <c r="L240" s="35"/>
      <c r="M240" s="61"/>
      <c r="N240" s="32"/>
      <c r="O240" s="150"/>
      <c r="P240" s="40"/>
      <c r="Q240" s="26"/>
      <c r="R240" s="26"/>
      <c r="S240" s="26"/>
      <c r="T240" s="26"/>
    </row>
    <row r="241" spans="1:20" s="43" customFormat="1" ht="90.75" thickBot="1" x14ac:dyDescent="0.3">
      <c r="A241" s="38" t="s">
        <v>29</v>
      </c>
      <c r="B241" s="53" t="s">
        <v>683</v>
      </c>
      <c r="C241" s="80" t="s">
        <v>1659</v>
      </c>
      <c r="D241" s="38" t="s">
        <v>677</v>
      </c>
      <c r="E241" s="6"/>
      <c r="F241" s="2"/>
      <c r="G241" s="41"/>
      <c r="H241" s="38"/>
      <c r="I241" s="38"/>
      <c r="J241" s="28"/>
      <c r="K241" s="64"/>
      <c r="L241" s="35"/>
      <c r="M241" s="61">
        <v>14879.42</v>
      </c>
      <c r="N241" s="32"/>
      <c r="O241" s="150"/>
      <c r="P241" s="40"/>
      <c r="Q241" s="26"/>
      <c r="R241" s="26"/>
      <c r="S241" s="26"/>
      <c r="T241" s="26"/>
    </row>
    <row r="242" spans="1:20" s="43" customFormat="1" ht="45.75" thickBot="1" x14ac:dyDescent="0.3">
      <c r="A242" s="38" t="s">
        <v>29</v>
      </c>
      <c r="B242" s="53" t="s">
        <v>684</v>
      </c>
      <c r="C242" s="80" t="s">
        <v>685</v>
      </c>
      <c r="D242" s="38" t="s">
        <v>677</v>
      </c>
      <c r="E242" s="6"/>
      <c r="F242" s="2"/>
      <c r="G242" s="41"/>
      <c r="H242" s="38"/>
      <c r="I242" s="38"/>
      <c r="J242" s="28"/>
      <c r="K242" s="64"/>
      <c r="L242" s="35"/>
      <c r="M242" s="61">
        <v>65020.39</v>
      </c>
      <c r="N242" s="32"/>
      <c r="O242" s="150"/>
      <c r="P242" s="40"/>
      <c r="Q242" s="26"/>
      <c r="R242" s="26"/>
      <c r="S242" s="26"/>
      <c r="T242" s="26"/>
    </row>
    <row r="243" spans="1:20" s="43" customFormat="1" ht="23.25" thickBot="1" x14ac:dyDescent="0.3">
      <c r="A243" s="38" t="s">
        <v>29</v>
      </c>
      <c r="B243" s="53" t="s">
        <v>686</v>
      </c>
      <c r="C243" s="80" t="s">
        <v>687</v>
      </c>
      <c r="D243" s="38" t="s">
        <v>677</v>
      </c>
      <c r="E243" s="6"/>
      <c r="F243" s="2"/>
      <c r="G243" s="41"/>
      <c r="H243" s="38"/>
      <c r="I243" s="38"/>
      <c r="J243" s="28"/>
      <c r="K243" s="64"/>
      <c r="L243" s="35"/>
      <c r="M243" s="61">
        <v>199728.94</v>
      </c>
      <c r="N243" s="32"/>
      <c r="O243" s="150"/>
      <c r="P243" s="40"/>
      <c r="Q243" s="26"/>
      <c r="R243" s="26"/>
      <c r="S243" s="26"/>
      <c r="T243" s="26"/>
    </row>
    <row r="244" spans="1:20" s="43" customFormat="1" ht="23.25" thickBot="1" x14ac:dyDescent="0.3">
      <c r="A244" s="38" t="s">
        <v>29</v>
      </c>
      <c r="B244" s="53" t="s">
        <v>688</v>
      </c>
      <c r="C244" s="80" t="s">
        <v>689</v>
      </c>
      <c r="D244" s="38" t="s">
        <v>677</v>
      </c>
      <c r="E244" s="6"/>
      <c r="F244" s="2"/>
      <c r="G244" s="41"/>
      <c r="H244" s="38"/>
      <c r="I244" s="38"/>
      <c r="J244" s="28"/>
      <c r="K244" s="64"/>
      <c r="L244" s="35"/>
      <c r="M244" s="61">
        <v>296851.44</v>
      </c>
      <c r="N244" s="32"/>
      <c r="O244" s="150"/>
      <c r="P244" s="40"/>
      <c r="Q244" s="26"/>
      <c r="R244" s="26"/>
      <c r="S244" s="26"/>
      <c r="T244" s="26"/>
    </row>
    <row r="245" spans="1:20" s="43" customFormat="1" ht="101.25" x14ac:dyDescent="0.25">
      <c r="A245" s="41" t="s">
        <v>18</v>
      </c>
      <c r="B245" s="23">
        <v>147</v>
      </c>
      <c r="C245" s="41" t="s">
        <v>690</v>
      </c>
      <c r="D245" s="38" t="s">
        <v>691</v>
      </c>
      <c r="E245" s="6">
        <v>1282623.47</v>
      </c>
      <c r="F245" s="2">
        <f>910937.58+100232.42</f>
        <v>1011170</v>
      </c>
      <c r="G245" s="26" t="s">
        <v>692</v>
      </c>
      <c r="H245" s="27" t="s">
        <v>19</v>
      </c>
      <c r="I245" s="27" t="s">
        <v>19</v>
      </c>
      <c r="J245" s="28">
        <v>43644</v>
      </c>
      <c r="K245" s="64" t="s">
        <v>1660</v>
      </c>
      <c r="L245" s="35">
        <v>0.26061000000000001</v>
      </c>
      <c r="M245" s="61">
        <v>773770.56</v>
      </c>
      <c r="N245" s="32">
        <v>43669</v>
      </c>
      <c r="O245" s="26" t="s">
        <v>1661</v>
      </c>
      <c r="P245" s="40">
        <v>294</v>
      </c>
      <c r="Q245" s="26">
        <v>43749</v>
      </c>
      <c r="R245" s="26" t="s">
        <v>693</v>
      </c>
      <c r="S245" s="26">
        <v>44403</v>
      </c>
      <c r="T245" s="26">
        <v>44453</v>
      </c>
    </row>
    <row r="246" spans="1:20" s="43" customFormat="1" ht="67.5" x14ac:dyDescent="0.25">
      <c r="A246" s="41" t="s">
        <v>18</v>
      </c>
      <c r="B246" s="23">
        <v>148</v>
      </c>
      <c r="C246" s="41" t="s">
        <v>694</v>
      </c>
      <c r="D246" s="38" t="s">
        <v>691</v>
      </c>
      <c r="E246" s="6">
        <v>1318771.43</v>
      </c>
      <c r="F246" s="2">
        <f>984123.01+115609.2</f>
        <v>1099732.21</v>
      </c>
      <c r="G246" s="26" t="s">
        <v>695</v>
      </c>
      <c r="H246" s="27" t="s">
        <v>19</v>
      </c>
      <c r="I246" s="27" t="s">
        <v>19</v>
      </c>
      <c r="J246" s="28">
        <v>43647</v>
      </c>
      <c r="K246" s="64" t="s">
        <v>696</v>
      </c>
      <c r="L246" s="35">
        <v>0.26211000000000001</v>
      </c>
      <c r="M246" s="61">
        <v>841783.73</v>
      </c>
      <c r="N246" s="32">
        <v>43672</v>
      </c>
      <c r="O246" s="26" t="s">
        <v>1662</v>
      </c>
      <c r="P246" s="40">
        <v>294</v>
      </c>
      <c r="Q246" s="26">
        <v>43748</v>
      </c>
      <c r="R246" s="26" t="s">
        <v>697</v>
      </c>
      <c r="S246" s="26">
        <v>44414</v>
      </c>
      <c r="T246" s="26">
        <v>44494</v>
      </c>
    </row>
    <row r="247" spans="1:20" s="43" customFormat="1" ht="112.5" x14ac:dyDescent="0.25">
      <c r="A247" s="41" t="s">
        <v>489</v>
      </c>
      <c r="B247" s="23">
        <v>149</v>
      </c>
      <c r="C247" s="41" t="s">
        <v>698</v>
      </c>
      <c r="D247" s="38" t="s">
        <v>699</v>
      </c>
      <c r="E247" s="7">
        <f>11699500+500</f>
        <v>11700000</v>
      </c>
      <c r="F247" s="2">
        <f>11699500+500</f>
        <v>11700000</v>
      </c>
      <c r="G247" s="26" t="s">
        <v>700</v>
      </c>
      <c r="H247" s="27" t="s">
        <v>19</v>
      </c>
      <c r="I247" s="27" t="s">
        <v>19</v>
      </c>
      <c r="J247" s="28">
        <v>43668</v>
      </c>
      <c r="K247" s="64" t="s">
        <v>1663</v>
      </c>
      <c r="L247" s="81" t="s">
        <v>701</v>
      </c>
      <c r="M247" s="61">
        <v>9038682</v>
      </c>
      <c r="N247" s="32">
        <v>43754</v>
      </c>
      <c r="O247" s="26" t="s">
        <v>1664</v>
      </c>
      <c r="P247" s="40" t="s">
        <v>702</v>
      </c>
      <c r="Q247" s="26">
        <v>43796</v>
      </c>
      <c r="R247" s="26"/>
      <c r="S247" s="26" t="s">
        <v>703</v>
      </c>
      <c r="T247" s="26"/>
    </row>
    <row r="248" spans="1:20" s="43" customFormat="1" ht="67.5" x14ac:dyDescent="0.25">
      <c r="A248" s="41" t="s">
        <v>29</v>
      </c>
      <c r="B248" s="23">
        <v>150</v>
      </c>
      <c r="C248" s="41" t="s">
        <v>704</v>
      </c>
      <c r="D248" s="38" t="s">
        <v>705</v>
      </c>
      <c r="E248" s="6">
        <f>1032500+27500</f>
        <v>1060000</v>
      </c>
      <c r="F248" s="2">
        <f>1032500+27500</f>
        <v>1060000</v>
      </c>
      <c r="G248" s="26" t="s">
        <v>706</v>
      </c>
      <c r="H248" s="27" t="s">
        <v>19</v>
      </c>
      <c r="I248" s="27" t="s">
        <v>19</v>
      </c>
      <c r="J248" s="28">
        <v>43670</v>
      </c>
      <c r="K248" s="64" t="s">
        <v>1665</v>
      </c>
      <c r="L248" s="35">
        <v>0.13800000000000001</v>
      </c>
      <c r="M248" s="61">
        <v>917515</v>
      </c>
      <c r="N248" s="32">
        <v>43747</v>
      </c>
      <c r="O248" s="26" t="s">
        <v>1666</v>
      </c>
      <c r="P248" s="40">
        <v>365</v>
      </c>
      <c r="Q248" s="26">
        <v>43797</v>
      </c>
      <c r="R248" s="26"/>
      <c r="S248" s="26"/>
      <c r="T248" s="26"/>
    </row>
    <row r="249" spans="1:20" s="43" customFormat="1" ht="78.75" x14ac:dyDescent="0.25">
      <c r="A249" s="41" t="s">
        <v>29</v>
      </c>
      <c r="B249" s="23">
        <v>151</v>
      </c>
      <c r="C249" s="41" t="s">
        <v>707</v>
      </c>
      <c r="D249" s="38" t="s">
        <v>708</v>
      </c>
      <c r="E249" s="6">
        <f>540000+10000</f>
        <v>550000</v>
      </c>
      <c r="F249" s="2">
        <f>540000+10000</f>
        <v>550000</v>
      </c>
      <c r="G249" s="26" t="s">
        <v>709</v>
      </c>
      <c r="H249" s="27" t="s">
        <v>19</v>
      </c>
      <c r="I249" s="27" t="s">
        <v>19</v>
      </c>
      <c r="J249" s="28">
        <v>43678</v>
      </c>
      <c r="K249" s="64" t="s">
        <v>710</v>
      </c>
      <c r="L249" s="35">
        <v>7.6300000000000007E-2</v>
      </c>
      <c r="M249" s="61">
        <v>508798</v>
      </c>
      <c r="N249" s="32">
        <v>43735</v>
      </c>
      <c r="O249" s="26">
        <v>43775</v>
      </c>
      <c r="P249" s="40">
        <v>150</v>
      </c>
      <c r="Q249" s="26"/>
      <c r="R249" s="26"/>
      <c r="S249" s="26"/>
      <c r="T249" s="82" t="s">
        <v>711</v>
      </c>
    </row>
    <row r="250" spans="1:20" s="43" customFormat="1" ht="67.5" x14ac:dyDescent="0.25">
      <c r="A250" s="41" t="s">
        <v>21</v>
      </c>
      <c r="B250" s="23">
        <v>152</v>
      </c>
      <c r="C250" s="41" t="s">
        <v>712</v>
      </c>
      <c r="D250" s="83" t="s">
        <v>713</v>
      </c>
      <c r="E250" s="6">
        <f>1032500+27500</f>
        <v>1060000</v>
      </c>
      <c r="F250" s="2">
        <f>1032500+27500</f>
        <v>1060000</v>
      </c>
      <c r="G250" s="26" t="s">
        <v>714</v>
      </c>
      <c r="H250" s="27"/>
      <c r="I250" s="27"/>
      <c r="J250" s="28">
        <v>43748</v>
      </c>
      <c r="K250" s="39" t="s">
        <v>715</v>
      </c>
      <c r="L250" s="35">
        <v>0.17499999999999999</v>
      </c>
      <c r="M250" s="61">
        <v>879312.5</v>
      </c>
      <c r="N250" s="32">
        <v>43801</v>
      </c>
      <c r="O250" s="26" t="s">
        <v>1667</v>
      </c>
      <c r="P250" s="40">
        <v>365</v>
      </c>
      <c r="Q250" s="26" t="s">
        <v>716</v>
      </c>
      <c r="R250" s="26"/>
      <c r="S250" s="26"/>
      <c r="T250" s="26"/>
    </row>
    <row r="251" spans="1:20" s="43" customFormat="1" ht="67.5" x14ac:dyDescent="0.25">
      <c r="A251" s="38" t="s">
        <v>18</v>
      </c>
      <c r="B251" s="23">
        <v>153</v>
      </c>
      <c r="C251" s="41" t="s">
        <v>717</v>
      </c>
      <c r="D251" s="83" t="s">
        <v>718</v>
      </c>
      <c r="E251" s="6">
        <f>1032500+27500</f>
        <v>1060000</v>
      </c>
      <c r="F251" s="2">
        <f>1032500+27500</f>
        <v>1060000</v>
      </c>
      <c r="G251" s="26" t="s">
        <v>719</v>
      </c>
      <c r="H251" s="27"/>
      <c r="I251" s="27"/>
      <c r="J251" s="28">
        <v>43762</v>
      </c>
      <c r="K251" s="39" t="s">
        <v>720</v>
      </c>
      <c r="L251" s="35">
        <v>0.251</v>
      </c>
      <c r="M251" s="61">
        <v>800842.5</v>
      </c>
      <c r="N251" s="32">
        <v>43812</v>
      </c>
      <c r="O251" s="26" t="s">
        <v>1668</v>
      </c>
      <c r="P251" s="40">
        <v>365</v>
      </c>
      <c r="Q251" s="26" t="s">
        <v>721</v>
      </c>
      <c r="R251" s="26"/>
      <c r="S251" s="26"/>
      <c r="T251" s="26"/>
    </row>
    <row r="252" spans="1:20" s="43" customFormat="1" ht="90" x14ac:dyDescent="0.25">
      <c r="A252" s="38" t="s">
        <v>18</v>
      </c>
      <c r="B252" s="23">
        <v>154</v>
      </c>
      <c r="C252" s="41" t="s">
        <v>722</v>
      </c>
      <c r="D252" s="38" t="s">
        <v>708</v>
      </c>
      <c r="E252" s="6">
        <v>340000</v>
      </c>
      <c r="F252" s="2">
        <v>340000</v>
      </c>
      <c r="G252" s="26" t="s">
        <v>723</v>
      </c>
      <c r="H252" s="27"/>
      <c r="I252" s="27"/>
      <c r="J252" s="28"/>
      <c r="K252" s="64" t="s">
        <v>724</v>
      </c>
      <c r="L252" s="35">
        <v>0.112</v>
      </c>
      <c r="M252" s="61">
        <v>302144</v>
      </c>
      <c r="N252" s="32">
        <v>43734</v>
      </c>
      <c r="O252" s="28">
        <v>43801</v>
      </c>
      <c r="P252" s="40">
        <v>150</v>
      </c>
      <c r="Q252" s="26"/>
      <c r="R252" s="26"/>
      <c r="S252" s="26">
        <v>44104</v>
      </c>
      <c r="T252" s="26"/>
    </row>
    <row r="253" spans="1:20" s="43" customFormat="1" ht="101.25" x14ac:dyDescent="0.25">
      <c r="A253" s="38" t="s">
        <v>21</v>
      </c>
      <c r="B253" s="23">
        <v>155</v>
      </c>
      <c r="C253" s="41" t="s">
        <v>725</v>
      </c>
      <c r="D253" s="38" t="s">
        <v>708</v>
      </c>
      <c r="E253" s="6">
        <f>218000+2000</f>
        <v>220000</v>
      </c>
      <c r="F253" s="6">
        <f>218000+2000</f>
        <v>220000</v>
      </c>
      <c r="G253" s="26" t="s">
        <v>726</v>
      </c>
      <c r="H253" s="27"/>
      <c r="I253" s="27"/>
      <c r="J253" s="28"/>
      <c r="K253" s="38" t="s">
        <v>727</v>
      </c>
      <c r="L253" s="35">
        <v>0.11</v>
      </c>
      <c r="M253" s="61">
        <v>196020</v>
      </c>
      <c r="N253" s="32">
        <v>43790</v>
      </c>
      <c r="O253" s="28">
        <v>43802</v>
      </c>
      <c r="P253" s="40">
        <v>150</v>
      </c>
      <c r="Q253" s="26">
        <v>43790</v>
      </c>
      <c r="R253" s="26">
        <v>44110</v>
      </c>
      <c r="S253" s="26"/>
      <c r="T253" s="82" t="s">
        <v>728</v>
      </c>
    </row>
    <row r="254" spans="1:20" s="43" customFormat="1" ht="22.5" x14ac:dyDescent="0.25">
      <c r="A254" s="38" t="s">
        <v>21</v>
      </c>
      <c r="B254" s="53" t="s">
        <v>729</v>
      </c>
      <c r="C254" s="41" t="s">
        <v>730</v>
      </c>
      <c r="D254" s="38"/>
      <c r="E254" s="6"/>
      <c r="F254" s="6"/>
      <c r="G254" s="26"/>
      <c r="H254" s="27"/>
      <c r="I254" s="27"/>
      <c r="J254" s="28"/>
      <c r="K254" s="38"/>
      <c r="L254" s="35"/>
      <c r="M254" s="61">
        <v>17670</v>
      </c>
      <c r="N254" s="32"/>
      <c r="O254" s="28"/>
      <c r="P254" s="40"/>
      <c r="Q254" s="26"/>
      <c r="R254" s="26"/>
      <c r="S254" s="26"/>
      <c r="T254" s="24"/>
    </row>
    <row r="255" spans="1:20" s="43" customFormat="1" ht="67.5" x14ac:dyDescent="0.25">
      <c r="A255" s="38" t="s">
        <v>21</v>
      </c>
      <c r="B255" s="23">
        <v>162</v>
      </c>
      <c r="C255" s="41" t="s">
        <v>731</v>
      </c>
      <c r="D255" s="38" t="s">
        <v>732</v>
      </c>
      <c r="E255" s="6">
        <v>695000</v>
      </c>
      <c r="F255" s="8">
        <f>667284.01+13341.8</f>
        <v>680625.81</v>
      </c>
      <c r="G255" s="41" t="s">
        <v>733</v>
      </c>
      <c r="H255" s="38" t="s">
        <v>19</v>
      </c>
      <c r="I255" s="38" t="s">
        <v>19</v>
      </c>
      <c r="J255" s="28">
        <v>43721</v>
      </c>
      <c r="K255" s="64" t="s">
        <v>734</v>
      </c>
      <c r="L255" s="35">
        <v>7.109E-2</v>
      </c>
      <c r="M255" s="6">
        <v>633188.59</v>
      </c>
      <c r="N255" s="32">
        <v>43768</v>
      </c>
      <c r="O255" s="26" t="s">
        <v>1669</v>
      </c>
      <c r="P255" s="40">
        <v>365</v>
      </c>
      <c r="Q255" s="26">
        <v>43815</v>
      </c>
      <c r="R255" s="26" t="s">
        <v>735</v>
      </c>
      <c r="S255" s="26">
        <v>44715</v>
      </c>
      <c r="T255" s="26">
        <v>45061</v>
      </c>
    </row>
    <row r="256" spans="1:20" s="43" customFormat="1" ht="33.75" x14ac:dyDescent="0.25">
      <c r="A256" s="38" t="s">
        <v>21</v>
      </c>
      <c r="B256" s="53" t="s">
        <v>736</v>
      </c>
      <c r="C256" s="41" t="s">
        <v>737</v>
      </c>
      <c r="D256" s="38" t="s">
        <v>732</v>
      </c>
      <c r="E256" s="6"/>
      <c r="F256" s="8"/>
      <c r="G256" s="41"/>
      <c r="H256" s="38"/>
      <c r="I256" s="38"/>
      <c r="J256" s="28"/>
      <c r="K256" s="64"/>
      <c r="L256" s="35"/>
      <c r="M256" s="6">
        <v>27675.62</v>
      </c>
      <c r="N256" s="32"/>
      <c r="O256" s="26"/>
      <c r="P256" s="40"/>
      <c r="Q256" s="26"/>
      <c r="R256" s="26"/>
      <c r="S256" s="26"/>
      <c r="T256" s="28"/>
    </row>
    <row r="257" spans="1:20" s="43" customFormat="1" ht="56.25" x14ac:dyDescent="0.25">
      <c r="A257" s="38" t="s">
        <v>21</v>
      </c>
      <c r="B257" s="53" t="s">
        <v>738</v>
      </c>
      <c r="C257" s="41" t="s">
        <v>739</v>
      </c>
      <c r="D257" s="38" t="s">
        <v>732</v>
      </c>
      <c r="E257" s="6"/>
      <c r="F257" s="8"/>
      <c r="G257" s="41"/>
      <c r="H257" s="38"/>
      <c r="I257" s="38"/>
      <c r="J257" s="28"/>
      <c r="K257" s="64"/>
      <c r="L257" s="35"/>
      <c r="M257" s="6">
        <v>18895.36</v>
      </c>
      <c r="N257" s="32"/>
      <c r="O257" s="26"/>
      <c r="P257" s="40"/>
      <c r="Q257" s="26"/>
      <c r="R257" s="26"/>
      <c r="S257" s="26"/>
      <c r="T257" s="28"/>
    </row>
    <row r="258" spans="1:20" s="43" customFormat="1" ht="45" x14ac:dyDescent="0.25">
      <c r="A258" s="38" t="s">
        <v>21</v>
      </c>
      <c r="B258" s="53" t="s">
        <v>740</v>
      </c>
      <c r="C258" s="41" t="s">
        <v>741</v>
      </c>
      <c r="D258" s="38"/>
      <c r="E258" s="6"/>
      <c r="F258" s="8"/>
      <c r="G258" s="41"/>
      <c r="H258" s="38"/>
      <c r="I258" s="38"/>
      <c r="J258" s="28"/>
      <c r="K258" s="64"/>
      <c r="L258" s="35"/>
      <c r="M258" s="6">
        <v>114702.63</v>
      </c>
      <c r="N258" s="32"/>
      <c r="O258" s="26"/>
      <c r="P258" s="40"/>
      <c r="Q258" s="26"/>
      <c r="R258" s="26"/>
      <c r="S258" s="26"/>
      <c r="T258" s="28"/>
    </row>
    <row r="259" spans="1:20" s="43" customFormat="1" ht="67.5" x14ac:dyDescent="0.25">
      <c r="A259" s="38" t="s">
        <v>29</v>
      </c>
      <c r="B259" s="23">
        <v>163</v>
      </c>
      <c r="C259" s="41" t="s">
        <v>1501</v>
      </c>
      <c r="D259" s="38" t="s">
        <v>742</v>
      </c>
      <c r="E259" s="3">
        <v>666757.49</v>
      </c>
      <c r="F259" s="8">
        <f>588543.85+66390.98</f>
        <v>654934.82999999996</v>
      </c>
      <c r="G259" s="26" t="s">
        <v>743</v>
      </c>
      <c r="H259" s="27" t="s">
        <v>19</v>
      </c>
      <c r="I259" s="27" t="s">
        <v>19</v>
      </c>
      <c r="J259" s="28">
        <v>43724</v>
      </c>
      <c r="K259" s="64" t="s">
        <v>744</v>
      </c>
      <c r="L259" s="35">
        <v>0.26223999999999997</v>
      </c>
      <c r="M259" s="31">
        <v>500595.09</v>
      </c>
      <c r="N259" s="32">
        <v>43752</v>
      </c>
      <c r="O259" s="26" t="s">
        <v>1670</v>
      </c>
      <c r="P259" s="40">
        <v>300</v>
      </c>
      <c r="Q259" s="26">
        <v>43798</v>
      </c>
      <c r="R259" s="26" t="s">
        <v>745</v>
      </c>
      <c r="S259" s="26">
        <v>44840</v>
      </c>
      <c r="T259" s="26">
        <v>44895</v>
      </c>
    </row>
    <row r="260" spans="1:20" s="43" customFormat="1" ht="33.75" x14ac:dyDescent="0.25">
      <c r="A260" s="38"/>
      <c r="B260" s="23"/>
      <c r="C260" s="41" t="s">
        <v>746</v>
      </c>
      <c r="D260" s="38"/>
      <c r="E260" s="3"/>
      <c r="F260" s="8"/>
      <c r="G260" s="26"/>
      <c r="H260" s="27"/>
      <c r="I260" s="27"/>
      <c r="J260" s="28"/>
      <c r="K260" s="64"/>
      <c r="L260" s="35"/>
      <c r="M260" s="31">
        <v>29372.29</v>
      </c>
      <c r="N260" s="32"/>
      <c r="O260" s="26"/>
      <c r="P260" s="40"/>
      <c r="Q260" s="26"/>
      <c r="R260" s="26"/>
      <c r="S260" s="26"/>
      <c r="T260" s="26"/>
    </row>
    <row r="261" spans="1:20" s="43" customFormat="1" ht="78.75" x14ac:dyDescent="0.25">
      <c r="A261" s="38" t="s">
        <v>18</v>
      </c>
      <c r="B261" s="23">
        <v>164</v>
      </c>
      <c r="C261" s="41" t="s">
        <v>747</v>
      </c>
      <c r="D261" s="70" t="s">
        <v>708</v>
      </c>
      <c r="E261" s="6">
        <v>435000</v>
      </c>
      <c r="F261" s="8">
        <f>414893.36+10019.21</f>
        <v>424912.57</v>
      </c>
      <c r="G261" s="26" t="s">
        <v>748</v>
      </c>
      <c r="H261" s="27" t="s">
        <v>19</v>
      </c>
      <c r="I261" s="27" t="s">
        <v>19</v>
      </c>
      <c r="J261" s="28">
        <v>43742</v>
      </c>
      <c r="K261" s="20" t="s">
        <v>749</v>
      </c>
      <c r="L261" s="35">
        <v>0.26088</v>
      </c>
      <c r="M261" s="31">
        <v>316675.19</v>
      </c>
      <c r="N261" s="32">
        <v>43769</v>
      </c>
      <c r="O261" s="26" t="s">
        <v>1671</v>
      </c>
      <c r="P261" s="40">
        <v>160</v>
      </c>
      <c r="Q261" s="26">
        <v>43871</v>
      </c>
      <c r="R261" s="26" t="s">
        <v>660</v>
      </c>
      <c r="S261" s="26">
        <v>44322</v>
      </c>
      <c r="T261" s="26">
        <v>44354</v>
      </c>
    </row>
    <row r="262" spans="1:20" s="43" customFormat="1" ht="22.5" x14ac:dyDescent="0.25">
      <c r="A262" s="38" t="s">
        <v>18</v>
      </c>
      <c r="B262" s="53" t="s">
        <v>750</v>
      </c>
      <c r="C262" s="41" t="s">
        <v>751</v>
      </c>
      <c r="D262" s="70"/>
      <c r="E262" s="6"/>
      <c r="F262" s="8"/>
      <c r="G262" s="26"/>
      <c r="H262" s="27"/>
      <c r="I262" s="27"/>
      <c r="J262" s="28"/>
      <c r="K262" s="20"/>
      <c r="L262" s="35"/>
      <c r="M262" s="31">
        <v>80894.73</v>
      </c>
      <c r="N262" s="32"/>
      <c r="O262" s="26"/>
      <c r="P262" s="40"/>
      <c r="Q262" s="26"/>
      <c r="R262" s="26"/>
      <c r="S262" s="26"/>
      <c r="T262" s="26"/>
    </row>
    <row r="263" spans="1:20" s="43" customFormat="1" ht="258.75" x14ac:dyDescent="0.25">
      <c r="A263" s="41" t="s">
        <v>21</v>
      </c>
      <c r="B263" s="23">
        <v>165</v>
      </c>
      <c r="C263" s="41" t="s">
        <v>752</v>
      </c>
      <c r="D263" s="38">
        <v>335</v>
      </c>
      <c r="E263" s="6">
        <v>3155033.82</v>
      </c>
      <c r="F263" s="8">
        <f>2733887.16+140430.76</f>
        <v>2874317.92</v>
      </c>
      <c r="G263" s="41" t="s">
        <v>753</v>
      </c>
      <c r="H263" s="38" t="s">
        <v>19</v>
      </c>
      <c r="I263" s="38" t="s">
        <v>19</v>
      </c>
      <c r="J263" s="28">
        <v>43752</v>
      </c>
      <c r="K263" s="38" t="s">
        <v>754</v>
      </c>
      <c r="L263" s="39">
        <v>0.1837</v>
      </c>
      <c r="M263" s="61">
        <v>2372102.85</v>
      </c>
      <c r="N263" s="32">
        <v>43804</v>
      </c>
      <c r="O263" s="26" t="s">
        <v>1672</v>
      </c>
      <c r="P263" s="40">
        <v>497</v>
      </c>
      <c r="Q263" s="26" t="s">
        <v>755</v>
      </c>
      <c r="R263" s="26" t="s">
        <v>756</v>
      </c>
      <c r="S263" s="26" t="s">
        <v>1500</v>
      </c>
      <c r="T263" s="28">
        <v>45076</v>
      </c>
    </row>
    <row r="264" spans="1:20" s="43" customFormat="1" ht="33.75" x14ac:dyDescent="0.25">
      <c r="A264" s="41" t="s">
        <v>21</v>
      </c>
      <c r="B264" s="53" t="s">
        <v>757</v>
      </c>
      <c r="C264" s="41" t="s">
        <v>758</v>
      </c>
      <c r="D264" s="38"/>
      <c r="E264" s="6"/>
      <c r="F264" s="8"/>
      <c r="G264" s="41"/>
      <c r="H264" s="38"/>
      <c r="I264" s="38"/>
      <c r="J264" s="28"/>
      <c r="K264" s="38"/>
      <c r="L264" s="39"/>
      <c r="M264" s="61">
        <v>13555.2</v>
      </c>
      <c r="N264" s="32"/>
      <c r="O264" s="26"/>
      <c r="P264" s="40"/>
      <c r="Q264" s="26"/>
      <c r="R264" s="26"/>
      <c r="S264" s="26"/>
      <c r="T264" s="28"/>
    </row>
    <row r="265" spans="1:20" s="43" customFormat="1" ht="33.75" x14ac:dyDescent="0.25">
      <c r="A265" s="41" t="s">
        <v>21</v>
      </c>
      <c r="B265" s="53" t="s">
        <v>759</v>
      </c>
      <c r="C265" s="41" t="s">
        <v>760</v>
      </c>
      <c r="D265" s="38"/>
      <c r="E265" s="6"/>
      <c r="F265" s="8"/>
      <c r="G265" s="41"/>
      <c r="H265" s="38"/>
      <c r="I265" s="38"/>
      <c r="J265" s="28"/>
      <c r="K265" s="38"/>
      <c r="L265" s="39"/>
      <c r="M265" s="61">
        <v>32390.93</v>
      </c>
      <c r="N265" s="32"/>
      <c r="O265" s="26"/>
      <c r="P265" s="40"/>
      <c r="Q265" s="26"/>
      <c r="R265" s="26"/>
      <c r="S265" s="26"/>
      <c r="T265" s="28"/>
    </row>
    <row r="266" spans="1:20" s="43" customFormat="1" ht="22.5" x14ac:dyDescent="0.25">
      <c r="A266" s="41" t="s">
        <v>21</v>
      </c>
      <c r="B266" s="53" t="s">
        <v>761</v>
      </c>
      <c r="C266" s="41" t="s">
        <v>762</v>
      </c>
      <c r="D266" s="38"/>
      <c r="E266" s="6"/>
      <c r="F266" s="8"/>
      <c r="G266" s="41"/>
      <c r="H266" s="38"/>
      <c r="I266" s="38"/>
      <c r="J266" s="28"/>
      <c r="K266" s="38"/>
      <c r="L266" s="39"/>
      <c r="M266" s="61">
        <v>340099.87</v>
      </c>
      <c r="N266" s="32"/>
      <c r="O266" s="26"/>
      <c r="P266" s="40"/>
      <c r="Q266" s="26"/>
      <c r="R266" s="26"/>
      <c r="S266" s="26"/>
      <c r="T266" s="28"/>
    </row>
    <row r="267" spans="1:20" s="43" customFormat="1" ht="101.25" x14ac:dyDescent="0.25">
      <c r="A267" s="41" t="s">
        <v>21</v>
      </c>
      <c r="B267" s="53" t="s">
        <v>763</v>
      </c>
      <c r="C267" s="41" t="s">
        <v>764</v>
      </c>
      <c r="D267" s="38"/>
      <c r="E267" s="6"/>
      <c r="F267" s="8"/>
      <c r="G267" s="41"/>
      <c r="H267" s="38"/>
      <c r="I267" s="38"/>
      <c r="J267" s="28"/>
      <c r="K267" s="38"/>
      <c r="L267" s="39"/>
      <c r="M267" s="61">
        <v>121127.58</v>
      </c>
      <c r="N267" s="32"/>
      <c r="O267" s="26"/>
      <c r="P267" s="40"/>
      <c r="Q267" s="26"/>
      <c r="R267" s="26"/>
      <c r="S267" s="26"/>
      <c r="T267" s="28"/>
    </row>
    <row r="268" spans="1:20" s="43" customFormat="1" ht="123.75" x14ac:dyDescent="0.25">
      <c r="A268" s="38" t="s">
        <v>29</v>
      </c>
      <c r="B268" s="23">
        <v>166</v>
      </c>
      <c r="C268" s="41" t="s">
        <v>765</v>
      </c>
      <c r="D268" s="38">
        <v>324</v>
      </c>
      <c r="E268" s="6">
        <v>364419.98</v>
      </c>
      <c r="F268" s="8">
        <f>343626.43+3938.75</f>
        <v>347565.18</v>
      </c>
      <c r="G268" s="26" t="s">
        <v>766</v>
      </c>
      <c r="H268" s="27" t="s">
        <v>19</v>
      </c>
      <c r="I268" s="27" t="s">
        <v>19</v>
      </c>
      <c r="J268" s="28" t="s">
        <v>767</v>
      </c>
      <c r="K268" s="38" t="s">
        <v>768</v>
      </c>
      <c r="L268" s="35">
        <v>0.26018999999999998</v>
      </c>
      <c r="M268" s="61">
        <v>258157.02</v>
      </c>
      <c r="N268" s="32">
        <v>43788</v>
      </c>
      <c r="O268" s="26" t="s">
        <v>1673</v>
      </c>
      <c r="P268" s="40">
        <v>180</v>
      </c>
      <c r="Q268" s="26" t="s">
        <v>769</v>
      </c>
      <c r="R268" s="26"/>
      <c r="S268" s="26"/>
      <c r="T268" s="26"/>
    </row>
    <row r="269" spans="1:20" s="43" customFormat="1" ht="123.75" x14ac:dyDescent="0.25">
      <c r="A269" s="38" t="s">
        <v>29</v>
      </c>
      <c r="B269" s="53" t="s">
        <v>770</v>
      </c>
      <c r="C269" s="41" t="s">
        <v>765</v>
      </c>
      <c r="D269" s="38"/>
      <c r="E269" s="6"/>
      <c r="F269" s="8"/>
      <c r="G269" s="26"/>
      <c r="H269" s="27"/>
      <c r="I269" s="27"/>
      <c r="J269" s="28"/>
      <c r="K269" s="38" t="s">
        <v>1674</v>
      </c>
      <c r="L269" s="35">
        <v>0.26018999999999998</v>
      </c>
      <c r="M269" s="61">
        <v>258157.02</v>
      </c>
      <c r="N269" s="32"/>
      <c r="O269" s="26">
        <v>44069</v>
      </c>
      <c r="P269" s="40">
        <v>180</v>
      </c>
      <c r="Q269" s="26"/>
      <c r="R269" s="84">
        <v>44151</v>
      </c>
      <c r="S269" s="26">
        <v>44771</v>
      </c>
      <c r="T269" s="26">
        <v>44895</v>
      </c>
    </row>
    <row r="270" spans="1:20" s="43" customFormat="1" ht="11.25" x14ac:dyDescent="0.25">
      <c r="A270" s="38" t="s">
        <v>29</v>
      </c>
      <c r="B270" s="53" t="s">
        <v>771</v>
      </c>
      <c r="C270" s="41"/>
      <c r="D270" s="38"/>
      <c r="E270" s="6"/>
      <c r="F270" s="8"/>
      <c r="G270" s="26"/>
      <c r="H270" s="27"/>
      <c r="I270" s="27"/>
      <c r="J270" s="28"/>
      <c r="K270" s="38"/>
      <c r="L270" s="35"/>
      <c r="M270" s="61">
        <v>13030.02</v>
      </c>
      <c r="N270" s="32"/>
      <c r="O270" s="26"/>
      <c r="P270" s="40"/>
      <c r="Q270" s="26"/>
      <c r="R270" s="84"/>
      <c r="S270" s="26"/>
      <c r="T270" s="26"/>
    </row>
    <row r="271" spans="1:20" s="43" customFormat="1" ht="123.75" x14ac:dyDescent="0.25">
      <c r="A271" s="41" t="s">
        <v>18</v>
      </c>
      <c r="B271" s="23">
        <v>167</v>
      </c>
      <c r="C271" s="41" t="s">
        <v>772</v>
      </c>
      <c r="D271" s="38">
        <v>240</v>
      </c>
      <c r="E271" s="6">
        <v>658211.89</v>
      </c>
      <c r="F271" s="8">
        <f>556511.43+41863.02</f>
        <v>598374.45000000007</v>
      </c>
      <c r="G271" s="41" t="s">
        <v>773</v>
      </c>
      <c r="H271" s="38" t="s">
        <v>19</v>
      </c>
      <c r="I271" s="38" t="s">
        <v>19</v>
      </c>
      <c r="J271" s="28">
        <v>43759</v>
      </c>
      <c r="K271" s="38" t="s">
        <v>774</v>
      </c>
      <c r="L271" s="35">
        <v>0.17741000000000001</v>
      </c>
      <c r="M271" s="61">
        <v>499643.76</v>
      </c>
      <c r="N271" s="32">
        <v>43798</v>
      </c>
      <c r="O271" s="26" t="s">
        <v>1675</v>
      </c>
      <c r="P271" s="40">
        <v>180</v>
      </c>
      <c r="Q271" s="26" t="s">
        <v>775</v>
      </c>
      <c r="R271" s="26">
        <v>43987</v>
      </c>
      <c r="S271" s="26">
        <v>44347</v>
      </c>
      <c r="T271" s="26">
        <v>44389</v>
      </c>
    </row>
    <row r="272" spans="1:20" s="43" customFormat="1" ht="22.5" x14ac:dyDescent="0.25">
      <c r="A272" s="41" t="s">
        <v>18</v>
      </c>
      <c r="B272" s="53" t="s">
        <v>776</v>
      </c>
      <c r="C272" s="41" t="s">
        <v>777</v>
      </c>
      <c r="D272" s="38"/>
      <c r="E272" s="6"/>
      <c r="F272" s="8"/>
      <c r="G272" s="41"/>
      <c r="H272" s="38"/>
      <c r="I272" s="38"/>
      <c r="J272" s="28"/>
      <c r="K272" s="38"/>
      <c r="L272" s="35"/>
      <c r="M272" s="61">
        <v>37816.800000000003</v>
      </c>
      <c r="N272" s="32"/>
      <c r="O272" s="26"/>
      <c r="P272" s="40"/>
      <c r="Q272" s="26"/>
      <c r="R272" s="26"/>
      <c r="S272" s="26"/>
      <c r="T272" s="28"/>
    </row>
    <row r="273" spans="1:20" s="43" customFormat="1" ht="67.5" x14ac:dyDescent="0.25">
      <c r="A273" s="41" t="s">
        <v>18</v>
      </c>
      <c r="B273" s="53" t="s">
        <v>778</v>
      </c>
      <c r="C273" s="41" t="s">
        <v>779</v>
      </c>
      <c r="D273" s="38"/>
      <c r="E273" s="6"/>
      <c r="F273" s="8"/>
      <c r="G273" s="41"/>
      <c r="H273" s="38"/>
      <c r="I273" s="38"/>
      <c r="J273" s="28"/>
      <c r="K273" s="38"/>
      <c r="L273" s="35"/>
      <c r="M273" s="61">
        <v>1655.66</v>
      </c>
      <c r="N273" s="32"/>
      <c r="O273" s="26"/>
      <c r="P273" s="40"/>
      <c r="Q273" s="26"/>
      <c r="R273" s="26"/>
      <c r="S273" s="26"/>
      <c r="T273" s="28"/>
    </row>
    <row r="274" spans="1:20" s="43" customFormat="1" ht="123.75" x14ac:dyDescent="0.25">
      <c r="A274" s="38" t="s">
        <v>21</v>
      </c>
      <c r="B274" s="23">
        <v>168</v>
      </c>
      <c r="C274" s="41" t="s">
        <v>780</v>
      </c>
      <c r="D274" s="38">
        <v>329</v>
      </c>
      <c r="E274" s="6">
        <v>953759</v>
      </c>
      <c r="F274" s="8">
        <f>788841.73+96087.89</f>
        <v>884929.62</v>
      </c>
      <c r="G274" s="26" t="s">
        <v>719</v>
      </c>
      <c r="H274" s="27"/>
      <c r="I274" s="27"/>
      <c r="J274" s="28">
        <v>43762</v>
      </c>
      <c r="K274" s="20" t="s">
        <v>781</v>
      </c>
      <c r="L274" s="35">
        <v>0.17795</v>
      </c>
      <c r="M274" s="61">
        <v>744555.23</v>
      </c>
      <c r="N274" s="32">
        <v>43788</v>
      </c>
      <c r="O274" s="26" t="s">
        <v>1676</v>
      </c>
      <c r="P274" s="40">
        <v>252</v>
      </c>
      <c r="Q274" s="26" t="s">
        <v>782</v>
      </c>
      <c r="R274" s="26" t="s">
        <v>756</v>
      </c>
      <c r="S274" s="26">
        <v>44551</v>
      </c>
      <c r="T274" s="26">
        <v>44711</v>
      </c>
    </row>
    <row r="275" spans="1:20" s="43" customFormat="1" ht="33.75" x14ac:dyDescent="0.25">
      <c r="A275" s="38" t="s">
        <v>21</v>
      </c>
      <c r="B275" s="23"/>
      <c r="C275" s="41" t="s">
        <v>783</v>
      </c>
      <c r="D275" s="38"/>
      <c r="E275" s="6"/>
      <c r="F275" s="8"/>
      <c r="G275" s="26"/>
      <c r="H275" s="27"/>
      <c r="I275" s="27"/>
      <c r="J275" s="28"/>
      <c r="K275" s="20"/>
      <c r="L275" s="35"/>
      <c r="M275" s="61">
        <v>142499.21</v>
      </c>
      <c r="N275" s="32"/>
      <c r="O275" s="26"/>
      <c r="P275" s="40"/>
      <c r="Q275" s="26"/>
      <c r="R275" s="26"/>
      <c r="S275" s="26"/>
      <c r="T275" s="28"/>
    </row>
    <row r="276" spans="1:20" s="43" customFormat="1" ht="270" x14ac:dyDescent="0.25">
      <c r="A276" s="38" t="s">
        <v>29</v>
      </c>
      <c r="B276" s="23">
        <v>169</v>
      </c>
      <c r="C276" s="41" t="s">
        <v>784</v>
      </c>
      <c r="D276" s="38" t="s">
        <v>785</v>
      </c>
      <c r="E276" s="6">
        <v>2910000</v>
      </c>
      <c r="F276" s="8">
        <f>2379475.3+147524.7</f>
        <v>2527000</v>
      </c>
      <c r="G276" s="26" t="s">
        <v>786</v>
      </c>
      <c r="H276" s="27"/>
      <c r="I276" s="27"/>
      <c r="J276" s="28" t="s">
        <v>787</v>
      </c>
      <c r="K276" s="20" t="s">
        <v>1642</v>
      </c>
      <c r="L276" s="35">
        <v>0.15776999999999999</v>
      </c>
      <c r="M276" s="61">
        <v>2151590.1800000002</v>
      </c>
      <c r="N276" s="32">
        <v>43796</v>
      </c>
      <c r="O276" s="26" t="s">
        <v>1677</v>
      </c>
      <c r="P276" s="40">
        <v>450</v>
      </c>
      <c r="Q276" s="26" t="s">
        <v>788</v>
      </c>
      <c r="R276" s="26">
        <v>43881</v>
      </c>
      <c r="S276" s="26">
        <v>44617</v>
      </c>
      <c r="T276" s="26">
        <v>44704</v>
      </c>
    </row>
    <row r="277" spans="1:20" s="43" customFormat="1" ht="22.5" x14ac:dyDescent="0.25">
      <c r="A277" s="38" t="s">
        <v>29</v>
      </c>
      <c r="B277" s="53" t="s">
        <v>789</v>
      </c>
      <c r="C277" s="41" t="s">
        <v>790</v>
      </c>
      <c r="D277" s="38"/>
      <c r="E277" s="6"/>
      <c r="F277" s="8"/>
      <c r="G277" s="26"/>
      <c r="H277" s="27"/>
      <c r="I277" s="27"/>
      <c r="J277" s="28"/>
      <c r="K277" s="28"/>
      <c r="L277" s="35"/>
      <c r="M277" s="61">
        <v>69861.679999999993</v>
      </c>
      <c r="N277" s="32"/>
      <c r="O277" s="26"/>
      <c r="P277" s="40"/>
      <c r="Q277" s="26"/>
      <c r="R277" s="26"/>
      <c r="S277" s="26"/>
      <c r="T277" s="28"/>
    </row>
    <row r="278" spans="1:20" s="43" customFormat="1" ht="33.75" x14ac:dyDescent="0.25">
      <c r="A278" s="38" t="s">
        <v>29</v>
      </c>
      <c r="B278" s="53" t="s">
        <v>791</v>
      </c>
      <c r="C278" s="41" t="s">
        <v>792</v>
      </c>
      <c r="D278" s="38"/>
      <c r="E278" s="6"/>
      <c r="F278" s="8"/>
      <c r="G278" s="26"/>
      <c r="H278" s="27"/>
      <c r="I278" s="27"/>
      <c r="J278" s="28"/>
      <c r="K278" s="28"/>
      <c r="L278" s="35"/>
      <c r="M278" s="61">
        <v>18152.55</v>
      </c>
      <c r="N278" s="32"/>
      <c r="O278" s="26"/>
      <c r="P278" s="40"/>
      <c r="Q278" s="26"/>
      <c r="R278" s="26"/>
      <c r="S278" s="26"/>
      <c r="T278" s="28"/>
    </row>
    <row r="279" spans="1:20" s="43" customFormat="1" ht="33.75" x14ac:dyDescent="0.25">
      <c r="A279" s="38" t="s">
        <v>29</v>
      </c>
      <c r="B279" s="53" t="s">
        <v>793</v>
      </c>
      <c r="C279" s="41" t="s">
        <v>794</v>
      </c>
      <c r="D279" s="38"/>
      <c r="E279" s="6"/>
      <c r="F279" s="8"/>
      <c r="G279" s="26"/>
      <c r="H279" s="27"/>
      <c r="I279" s="27"/>
      <c r="J279" s="28"/>
      <c r="K279" s="128"/>
      <c r="L279" s="35"/>
      <c r="M279" s="61">
        <v>8421.56</v>
      </c>
      <c r="N279" s="32"/>
      <c r="O279" s="26"/>
      <c r="P279" s="40"/>
      <c r="Q279" s="26"/>
      <c r="R279" s="26"/>
      <c r="S279" s="26"/>
      <c r="T279" s="28"/>
    </row>
    <row r="280" spans="1:20" s="43" customFormat="1" ht="78.75" x14ac:dyDescent="0.25">
      <c r="A280" s="38" t="s">
        <v>489</v>
      </c>
      <c r="B280" s="23">
        <v>170</v>
      </c>
      <c r="C280" s="41" t="s">
        <v>795</v>
      </c>
      <c r="D280" s="38" t="s">
        <v>796</v>
      </c>
      <c r="E280" s="6">
        <f>4194250+111016</f>
        <v>4305266</v>
      </c>
      <c r="F280" s="8">
        <f>4194250+111016</f>
        <v>4305266</v>
      </c>
      <c r="G280" s="26" t="s">
        <v>797</v>
      </c>
      <c r="H280" s="27"/>
      <c r="I280" s="27"/>
      <c r="J280" s="28">
        <v>43761</v>
      </c>
      <c r="K280" s="38" t="s">
        <v>798</v>
      </c>
      <c r="L280" s="39"/>
      <c r="M280" s="61">
        <f>699207+665884+581759+737450+688666</f>
        <v>3372966</v>
      </c>
      <c r="N280" s="32">
        <v>43796</v>
      </c>
      <c r="O280" s="26" t="s">
        <v>1678</v>
      </c>
      <c r="P280" s="40" t="s">
        <v>799</v>
      </c>
      <c r="Q280" s="26" t="s">
        <v>800</v>
      </c>
      <c r="R280" s="26"/>
      <c r="S280" s="26">
        <v>44713</v>
      </c>
      <c r="T280" s="26"/>
    </row>
    <row r="281" spans="1:20" s="43" customFormat="1" ht="22.5" x14ac:dyDescent="0.25">
      <c r="A281" s="38" t="s">
        <v>489</v>
      </c>
      <c r="B281" s="53" t="s">
        <v>801</v>
      </c>
      <c r="C281" s="41" t="s">
        <v>802</v>
      </c>
      <c r="D281" s="38" t="s">
        <v>796</v>
      </c>
      <c r="E281" s="6"/>
      <c r="F281" s="8"/>
      <c r="G281" s="26"/>
      <c r="H281" s="27"/>
      <c r="I281" s="27"/>
      <c r="J281" s="28"/>
      <c r="K281" s="38"/>
      <c r="L281" s="39"/>
      <c r="M281" s="61">
        <v>10591.79</v>
      </c>
      <c r="N281" s="32"/>
      <c r="O281" s="26"/>
      <c r="P281" s="40"/>
      <c r="Q281" s="26"/>
      <c r="R281" s="26"/>
      <c r="S281" s="26"/>
      <c r="T281" s="26"/>
    </row>
    <row r="282" spans="1:20" s="43" customFormat="1" ht="123.75" x14ac:dyDescent="0.25">
      <c r="A282" s="38" t="s">
        <v>803</v>
      </c>
      <c r="B282" s="23">
        <v>171</v>
      </c>
      <c r="C282" s="41" t="s">
        <v>804</v>
      </c>
      <c r="D282" s="38" t="s">
        <v>805</v>
      </c>
      <c r="E282" s="6">
        <v>547737.47</v>
      </c>
      <c r="F282" s="8">
        <f>477772.22+16223.62</f>
        <v>493995.83999999997</v>
      </c>
      <c r="G282" s="26" t="s">
        <v>806</v>
      </c>
      <c r="H282" s="27" t="s">
        <v>19</v>
      </c>
      <c r="I282" s="27" t="s">
        <v>19</v>
      </c>
      <c r="J282" s="28">
        <v>43769</v>
      </c>
      <c r="K282" s="38" t="s">
        <v>807</v>
      </c>
      <c r="L282" s="35">
        <v>0.26145000000000002</v>
      </c>
      <c r="M282" s="61">
        <v>369082.29</v>
      </c>
      <c r="N282" s="32">
        <v>43794</v>
      </c>
      <c r="O282" s="26" t="s">
        <v>1679</v>
      </c>
      <c r="P282" s="40">
        <v>203</v>
      </c>
      <c r="Q282" s="26" t="s">
        <v>808</v>
      </c>
      <c r="R282" s="26" t="s">
        <v>809</v>
      </c>
      <c r="S282" s="26">
        <v>44678</v>
      </c>
      <c r="T282" s="26">
        <v>44846</v>
      </c>
    </row>
    <row r="283" spans="1:20" s="43" customFormat="1" ht="78.75" x14ac:dyDescent="0.25">
      <c r="A283" s="38" t="s">
        <v>29</v>
      </c>
      <c r="B283" s="23">
        <v>172</v>
      </c>
      <c r="C283" s="41" t="s">
        <v>810</v>
      </c>
      <c r="D283" s="38" t="s">
        <v>811</v>
      </c>
      <c r="E283" s="33">
        <v>396191.36</v>
      </c>
      <c r="F283" s="8">
        <f>360570.78+5643.51</f>
        <v>366214.29000000004</v>
      </c>
      <c r="G283" s="26" t="s">
        <v>812</v>
      </c>
      <c r="H283" s="27" t="s">
        <v>19</v>
      </c>
      <c r="I283" s="27" t="s">
        <v>19</v>
      </c>
      <c r="J283" s="28">
        <v>43767</v>
      </c>
      <c r="K283" s="38" t="s">
        <v>813</v>
      </c>
      <c r="L283" s="35">
        <v>0.25551000000000001</v>
      </c>
      <c r="M283" s="61">
        <v>274084.84999999998</v>
      </c>
      <c r="N283" s="32">
        <v>43794</v>
      </c>
      <c r="O283" s="26" t="s">
        <v>1680</v>
      </c>
      <c r="P283" s="40">
        <v>240</v>
      </c>
      <c r="Q283" s="26" t="s">
        <v>814</v>
      </c>
      <c r="R283" s="26" t="s">
        <v>815</v>
      </c>
      <c r="S283" s="26">
        <v>44922</v>
      </c>
      <c r="T283" s="26">
        <v>45012</v>
      </c>
    </row>
    <row r="284" spans="1:20" s="43" customFormat="1" ht="45" x14ac:dyDescent="0.25">
      <c r="A284" s="38" t="s">
        <v>29</v>
      </c>
      <c r="B284" s="53" t="s">
        <v>816</v>
      </c>
      <c r="C284" s="41" t="s">
        <v>817</v>
      </c>
      <c r="D284" s="38" t="s">
        <v>811</v>
      </c>
      <c r="E284" s="33"/>
      <c r="F284" s="8"/>
      <c r="G284" s="26"/>
      <c r="H284" s="27"/>
      <c r="I284" s="27"/>
      <c r="J284" s="28"/>
      <c r="K284" s="38"/>
      <c r="L284" s="35"/>
      <c r="M284" s="61">
        <v>27873.51</v>
      </c>
      <c r="N284" s="32"/>
      <c r="O284" s="26"/>
      <c r="P284" s="40"/>
      <c r="Q284" s="26"/>
      <c r="R284" s="26"/>
      <c r="S284" s="26"/>
      <c r="T284" s="26"/>
    </row>
    <row r="285" spans="1:20" s="43" customFormat="1" ht="112.5" x14ac:dyDescent="0.25">
      <c r="A285" s="38" t="s">
        <v>29</v>
      </c>
      <c r="B285" s="53">
        <v>173</v>
      </c>
      <c r="C285" s="41" t="s">
        <v>818</v>
      </c>
      <c r="D285" s="38" t="s">
        <v>819</v>
      </c>
      <c r="E285" s="33">
        <v>253194.74</v>
      </c>
      <c r="F285" s="8">
        <f>244043.32+4998.01</f>
        <v>249041.33000000002</v>
      </c>
      <c r="G285" s="26" t="s">
        <v>820</v>
      </c>
      <c r="H285" s="27" t="s">
        <v>19</v>
      </c>
      <c r="I285" s="27" t="s">
        <v>19</v>
      </c>
      <c r="J285" s="28">
        <v>43773</v>
      </c>
      <c r="K285" s="38" t="s">
        <v>821</v>
      </c>
      <c r="L285" s="39">
        <v>0.25319999999999998</v>
      </c>
      <c r="M285" s="61">
        <v>187249.56</v>
      </c>
      <c r="N285" s="32">
        <v>43791</v>
      </c>
      <c r="O285" s="26" t="s">
        <v>1681</v>
      </c>
      <c r="P285" s="40">
        <v>240</v>
      </c>
      <c r="Q285" s="26" t="s">
        <v>800</v>
      </c>
      <c r="R285" s="26"/>
      <c r="S285" s="26"/>
      <c r="T285" s="26"/>
    </row>
    <row r="286" spans="1:20" s="43" customFormat="1" ht="78.75" x14ac:dyDescent="0.25">
      <c r="A286" s="38" t="s">
        <v>29</v>
      </c>
      <c r="B286" s="53" t="s">
        <v>822</v>
      </c>
      <c r="C286" s="41" t="s">
        <v>818</v>
      </c>
      <c r="D286" s="38" t="s">
        <v>819</v>
      </c>
      <c r="E286" s="33"/>
      <c r="F286" s="8"/>
      <c r="G286" s="26"/>
      <c r="H286" s="27"/>
      <c r="I286" s="27"/>
      <c r="J286" s="28"/>
      <c r="K286" s="38" t="s">
        <v>1682</v>
      </c>
      <c r="L286" s="39">
        <v>0.25319999999999998</v>
      </c>
      <c r="M286" s="61">
        <v>187249.56</v>
      </c>
      <c r="N286" s="32"/>
      <c r="O286" s="26">
        <v>44165</v>
      </c>
      <c r="P286" s="40">
        <v>240</v>
      </c>
      <c r="Q286" s="26"/>
      <c r="R286" s="26"/>
      <c r="S286" s="26"/>
      <c r="T286" s="26"/>
    </row>
    <row r="287" spans="1:20" s="43" customFormat="1" ht="45" x14ac:dyDescent="0.25">
      <c r="A287" s="38" t="s">
        <v>18</v>
      </c>
      <c r="B287" s="23">
        <v>174</v>
      </c>
      <c r="C287" s="41" t="s">
        <v>823</v>
      </c>
      <c r="D287" s="38" t="s">
        <v>708</v>
      </c>
      <c r="E287" s="6">
        <v>180000</v>
      </c>
      <c r="F287" s="8">
        <f>159010.7+4109.34</f>
        <v>163120.04</v>
      </c>
      <c r="G287" s="27" t="s">
        <v>19</v>
      </c>
      <c r="H287" s="27" t="s">
        <v>19</v>
      </c>
      <c r="I287" s="29" t="s">
        <v>824</v>
      </c>
      <c r="J287" s="28">
        <v>43768</v>
      </c>
      <c r="K287" s="39" t="s">
        <v>825</v>
      </c>
      <c r="L287" s="35">
        <v>0.18634999999999999</v>
      </c>
      <c r="M287" s="61">
        <v>133488.4</v>
      </c>
      <c r="N287" s="32">
        <v>43776</v>
      </c>
      <c r="O287" s="26">
        <v>43845</v>
      </c>
      <c r="P287" s="40">
        <v>190</v>
      </c>
      <c r="Q287" s="26">
        <v>43852</v>
      </c>
      <c r="R287" s="26" t="s">
        <v>826</v>
      </c>
      <c r="S287" s="26">
        <v>44075</v>
      </c>
      <c r="T287" s="26">
        <v>44127</v>
      </c>
    </row>
    <row r="288" spans="1:20" s="43" customFormat="1" ht="78.75" x14ac:dyDescent="0.25">
      <c r="A288" s="38" t="s">
        <v>18</v>
      </c>
      <c r="B288" s="23">
        <v>175</v>
      </c>
      <c r="C288" s="41" t="s">
        <v>827</v>
      </c>
      <c r="D288" s="38" t="s">
        <v>708</v>
      </c>
      <c r="E288" s="6">
        <v>140000</v>
      </c>
      <c r="F288" s="2">
        <f>118167.14+13808.83</f>
        <v>131975.97</v>
      </c>
      <c r="G288" s="27" t="s">
        <v>19</v>
      </c>
      <c r="H288" s="27" t="s">
        <v>19</v>
      </c>
      <c r="I288" s="29" t="s">
        <v>828</v>
      </c>
      <c r="J288" s="28">
        <v>43773</v>
      </c>
      <c r="K288" s="64" t="s">
        <v>829</v>
      </c>
      <c r="L288" s="39">
        <v>0.2298</v>
      </c>
      <c r="M288" s="11">
        <v>104821.16</v>
      </c>
      <c r="N288" s="32">
        <v>43788</v>
      </c>
      <c r="O288" s="26">
        <v>43843</v>
      </c>
      <c r="P288" s="40">
        <v>90</v>
      </c>
      <c r="Q288" s="26">
        <v>43843</v>
      </c>
      <c r="R288" s="26">
        <v>43851</v>
      </c>
      <c r="S288" s="26">
        <v>44547</v>
      </c>
      <c r="T288" s="28"/>
    </row>
    <row r="289" spans="1:20" s="43" customFormat="1" ht="22.5" x14ac:dyDescent="0.25">
      <c r="A289" s="38" t="s">
        <v>18</v>
      </c>
      <c r="B289" s="53" t="s">
        <v>830</v>
      </c>
      <c r="C289" s="41" t="s">
        <v>831</v>
      </c>
      <c r="D289" s="38"/>
      <c r="E289" s="6"/>
      <c r="F289" s="2"/>
      <c r="G289" s="27"/>
      <c r="H289" s="27"/>
      <c r="I289" s="29"/>
      <c r="J289" s="28"/>
      <c r="K289" s="64"/>
      <c r="L289" s="39"/>
      <c r="M289" s="11">
        <v>44090.37</v>
      </c>
      <c r="N289" s="32"/>
      <c r="O289" s="26"/>
      <c r="P289" s="40"/>
      <c r="Q289" s="26"/>
      <c r="R289" s="26"/>
      <c r="S289" s="26"/>
      <c r="T289" s="28"/>
    </row>
    <row r="290" spans="1:20" s="43" customFormat="1" ht="101.25" x14ac:dyDescent="0.25">
      <c r="A290" s="38" t="s">
        <v>29</v>
      </c>
      <c r="B290" s="23">
        <v>176</v>
      </c>
      <c r="C290" s="41" t="s">
        <v>832</v>
      </c>
      <c r="D290" s="38" t="s">
        <v>833</v>
      </c>
      <c r="E290" s="6">
        <v>1586690.91</v>
      </c>
      <c r="F290" s="2">
        <f>1177468.14+28467.46</f>
        <v>1205935.5999999999</v>
      </c>
      <c r="G290" s="26" t="s">
        <v>834</v>
      </c>
      <c r="H290" s="27"/>
      <c r="I290" s="27"/>
      <c r="J290" s="28">
        <v>43780</v>
      </c>
      <c r="K290" s="64" t="s">
        <v>734</v>
      </c>
      <c r="L290" s="39">
        <v>2.3599999999999999E-2</v>
      </c>
      <c r="M290" s="61">
        <v>1178147.3500000001</v>
      </c>
      <c r="N290" s="32">
        <v>43805</v>
      </c>
      <c r="O290" s="26" t="s">
        <v>1683</v>
      </c>
      <c r="P290" s="40">
        <v>350</v>
      </c>
      <c r="Q290" s="26" t="s">
        <v>721</v>
      </c>
      <c r="R290" s="26" t="s">
        <v>835</v>
      </c>
      <c r="S290" s="26">
        <v>44566</v>
      </c>
      <c r="T290" s="26">
        <v>44753</v>
      </c>
    </row>
    <row r="291" spans="1:20" s="43" customFormat="1" ht="22.5" x14ac:dyDescent="0.25">
      <c r="A291" s="38" t="s">
        <v>29</v>
      </c>
      <c r="B291" s="53" t="s">
        <v>836</v>
      </c>
      <c r="C291" s="85" t="s">
        <v>837</v>
      </c>
      <c r="D291" s="38" t="s">
        <v>833</v>
      </c>
      <c r="E291" s="6"/>
      <c r="F291" s="2"/>
      <c r="G291" s="26"/>
      <c r="H291" s="27"/>
      <c r="I291" s="27"/>
      <c r="J291" s="28"/>
      <c r="K291" s="64"/>
      <c r="L291" s="39"/>
      <c r="M291" s="61">
        <v>16028.53</v>
      </c>
      <c r="N291" s="32"/>
      <c r="O291" s="26"/>
      <c r="P291" s="40"/>
      <c r="Q291" s="26"/>
      <c r="R291" s="26"/>
      <c r="S291" s="26"/>
      <c r="T291" s="26"/>
    </row>
    <row r="292" spans="1:20" s="43" customFormat="1" ht="22.5" x14ac:dyDescent="0.25">
      <c r="A292" s="38" t="s">
        <v>29</v>
      </c>
      <c r="B292" s="53" t="s">
        <v>838</v>
      </c>
      <c r="C292" s="85" t="s">
        <v>839</v>
      </c>
      <c r="D292" s="38" t="s">
        <v>833</v>
      </c>
      <c r="E292" s="6"/>
      <c r="F292" s="2"/>
      <c r="G292" s="26"/>
      <c r="H292" s="27"/>
      <c r="I292" s="27"/>
      <c r="J292" s="28"/>
      <c r="K292" s="64"/>
      <c r="L292" s="39"/>
      <c r="M292" s="61">
        <v>1126.76</v>
      </c>
      <c r="N292" s="32"/>
      <c r="O292" s="26"/>
      <c r="P292" s="40"/>
      <c r="Q292" s="26"/>
      <c r="R292" s="26"/>
      <c r="S292" s="26"/>
      <c r="T292" s="26"/>
    </row>
    <row r="293" spans="1:20" s="43" customFormat="1" ht="22.5" x14ac:dyDescent="0.25">
      <c r="A293" s="38" t="s">
        <v>29</v>
      </c>
      <c r="B293" s="53" t="s">
        <v>840</v>
      </c>
      <c r="C293" s="85" t="s">
        <v>841</v>
      </c>
      <c r="D293" s="38" t="s">
        <v>833</v>
      </c>
      <c r="E293" s="6"/>
      <c r="F293" s="2"/>
      <c r="G293" s="26"/>
      <c r="H293" s="27"/>
      <c r="I293" s="27"/>
      <c r="J293" s="28"/>
      <c r="K293" s="64"/>
      <c r="L293" s="39"/>
      <c r="M293" s="61">
        <v>246.38</v>
      </c>
      <c r="N293" s="32"/>
      <c r="O293" s="26"/>
      <c r="P293" s="40"/>
      <c r="Q293" s="26"/>
      <c r="R293" s="26"/>
      <c r="S293" s="26"/>
      <c r="T293" s="26"/>
    </row>
    <row r="294" spans="1:20" s="43" customFormat="1" ht="22.5" x14ac:dyDescent="0.25">
      <c r="A294" s="38" t="s">
        <v>29</v>
      </c>
      <c r="B294" s="53" t="s">
        <v>842</v>
      </c>
      <c r="C294" s="85" t="s">
        <v>843</v>
      </c>
      <c r="D294" s="38" t="s">
        <v>833</v>
      </c>
      <c r="E294" s="6"/>
      <c r="F294" s="2"/>
      <c r="G294" s="26"/>
      <c r="H294" s="27"/>
      <c r="I294" s="27"/>
      <c r="J294" s="28"/>
      <c r="K294" s="64"/>
      <c r="L294" s="39"/>
      <c r="M294" s="61">
        <v>9214.0400000000009</v>
      </c>
      <c r="N294" s="32"/>
      <c r="O294" s="26"/>
      <c r="P294" s="40"/>
      <c r="Q294" s="26"/>
      <c r="R294" s="26"/>
      <c r="S294" s="26"/>
      <c r="T294" s="26"/>
    </row>
    <row r="295" spans="1:20" s="43" customFormat="1" ht="22.5" x14ac:dyDescent="0.25">
      <c r="A295" s="38" t="s">
        <v>29</v>
      </c>
      <c r="B295" s="53" t="s">
        <v>844</v>
      </c>
      <c r="C295" s="85" t="s">
        <v>845</v>
      </c>
      <c r="D295" s="38" t="s">
        <v>833</v>
      </c>
      <c r="E295" s="6"/>
      <c r="F295" s="2"/>
      <c r="G295" s="26"/>
      <c r="H295" s="27"/>
      <c r="I295" s="27"/>
      <c r="J295" s="28"/>
      <c r="K295" s="64"/>
      <c r="L295" s="39"/>
      <c r="M295" s="61">
        <v>394.76</v>
      </c>
      <c r="N295" s="32"/>
      <c r="O295" s="26"/>
      <c r="P295" s="40"/>
      <c r="Q295" s="26"/>
      <c r="R295" s="26"/>
      <c r="S295" s="26"/>
      <c r="T295" s="26"/>
    </row>
    <row r="296" spans="1:20" s="43" customFormat="1" ht="45.75" thickBot="1" x14ac:dyDescent="0.3">
      <c r="A296" s="38" t="s">
        <v>29</v>
      </c>
      <c r="B296" s="53" t="s">
        <v>846</v>
      </c>
      <c r="C296" s="80" t="s">
        <v>847</v>
      </c>
      <c r="D296" s="38" t="s">
        <v>833</v>
      </c>
      <c r="E296" s="6"/>
      <c r="F296" s="2"/>
      <c r="G296" s="26"/>
      <c r="H296" s="27"/>
      <c r="I296" s="27"/>
      <c r="J296" s="28"/>
      <c r="K296" s="64"/>
      <c r="L296" s="39"/>
      <c r="M296" s="61">
        <v>13475.19</v>
      </c>
      <c r="N296" s="32"/>
      <c r="O296" s="26"/>
      <c r="P296" s="40"/>
      <c r="Q296" s="26"/>
      <c r="R296" s="26"/>
      <c r="S296" s="26"/>
      <c r="T296" s="28"/>
    </row>
    <row r="297" spans="1:20" s="43" customFormat="1" ht="45.75" thickBot="1" x14ac:dyDescent="0.3">
      <c r="A297" s="38" t="s">
        <v>29</v>
      </c>
      <c r="B297" s="53" t="s">
        <v>848</v>
      </c>
      <c r="C297" s="80" t="s">
        <v>849</v>
      </c>
      <c r="D297" s="38" t="s">
        <v>833</v>
      </c>
      <c r="E297" s="6"/>
      <c r="F297" s="2"/>
      <c r="G297" s="26"/>
      <c r="H297" s="27"/>
      <c r="I297" s="27"/>
      <c r="J297" s="28"/>
      <c r="K297" s="64"/>
      <c r="L297" s="39"/>
      <c r="M297" s="61">
        <v>6293.61</v>
      </c>
      <c r="N297" s="32"/>
      <c r="O297" s="26"/>
      <c r="P297" s="40"/>
      <c r="Q297" s="26"/>
      <c r="R297" s="26"/>
      <c r="S297" s="26"/>
      <c r="T297" s="28"/>
    </row>
    <row r="298" spans="1:20" s="43" customFormat="1" ht="180" x14ac:dyDescent="0.25">
      <c r="A298" s="38" t="s">
        <v>29</v>
      </c>
      <c r="B298" s="23">
        <v>177</v>
      </c>
      <c r="C298" s="41" t="s">
        <v>850</v>
      </c>
      <c r="D298" s="38" t="s">
        <v>851</v>
      </c>
      <c r="E298" s="6">
        <v>1588872.73</v>
      </c>
      <c r="F298" s="2">
        <f>1206989.8+28467.46</f>
        <v>1235457.26</v>
      </c>
      <c r="G298" s="26" t="s">
        <v>852</v>
      </c>
      <c r="H298" s="27"/>
      <c r="I298" s="27"/>
      <c r="J298" s="28">
        <v>43782</v>
      </c>
      <c r="K298" s="64" t="s">
        <v>734</v>
      </c>
      <c r="L298" s="39" t="s">
        <v>853</v>
      </c>
      <c r="M298" s="61">
        <v>1215662.6299999999</v>
      </c>
      <c r="N298" s="32">
        <v>43809</v>
      </c>
      <c r="O298" s="26" t="s">
        <v>1684</v>
      </c>
      <c r="P298" s="40">
        <v>350</v>
      </c>
      <c r="Q298" s="26" t="s">
        <v>721</v>
      </c>
      <c r="R298" s="26">
        <v>44060</v>
      </c>
      <c r="S298" s="26">
        <v>44610</v>
      </c>
      <c r="T298" s="26">
        <v>44753</v>
      </c>
    </row>
    <row r="299" spans="1:20" s="43" customFormat="1" ht="22.5" x14ac:dyDescent="0.25">
      <c r="A299" s="38" t="s">
        <v>29</v>
      </c>
      <c r="B299" s="53" t="s">
        <v>854</v>
      </c>
      <c r="C299" s="41" t="s">
        <v>855</v>
      </c>
      <c r="D299" s="38" t="s">
        <v>851</v>
      </c>
      <c r="E299" s="6"/>
      <c r="F299" s="2"/>
      <c r="G299" s="26"/>
      <c r="H299" s="27"/>
      <c r="I299" s="27"/>
      <c r="J299" s="28"/>
      <c r="K299" s="64"/>
      <c r="L299" s="39"/>
      <c r="M299" s="61">
        <v>1852.02</v>
      </c>
      <c r="N299" s="32"/>
      <c r="O299" s="26"/>
      <c r="P299" s="40"/>
      <c r="Q299" s="26"/>
      <c r="R299" s="26"/>
      <c r="S299" s="26"/>
      <c r="T299" s="26"/>
    </row>
    <row r="300" spans="1:20" s="43" customFormat="1" ht="22.5" x14ac:dyDescent="0.25">
      <c r="A300" s="38" t="s">
        <v>29</v>
      </c>
      <c r="B300" s="53" t="s">
        <v>856</v>
      </c>
      <c r="C300" s="41" t="s">
        <v>857</v>
      </c>
      <c r="D300" s="38" t="s">
        <v>851</v>
      </c>
      <c r="E300" s="6"/>
      <c r="F300" s="2"/>
      <c r="G300" s="26"/>
      <c r="H300" s="27"/>
      <c r="I300" s="27"/>
      <c r="J300" s="28"/>
      <c r="K300" s="64"/>
      <c r="L300" s="39"/>
      <c r="M300" s="61">
        <v>804.14</v>
      </c>
      <c r="N300" s="32"/>
      <c r="O300" s="26"/>
      <c r="P300" s="40"/>
      <c r="Q300" s="26"/>
      <c r="R300" s="26"/>
      <c r="S300" s="26"/>
      <c r="T300" s="26"/>
    </row>
    <row r="301" spans="1:20" s="43" customFormat="1" ht="22.5" x14ac:dyDescent="0.25">
      <c r="A301" s="38" t="s">
        <v>29</v>
      </c>
      <c r="B301" s="53" t="s">
        <v>858</v>
      </c>
      <c r="C301" s="41" t="s">
        <v>859</v>
      </c>
      <c r="D301" s="38" t="s">
        <v>851</v>
      </c>
      <c r="E301" s="6"/>
      <c r="F301" s="2"/>
      <c r="G301" s="26"/>
      <c r="H301" s="27"/>
      <c r="I301" s="27"/>
      <c r="J301" s="28"/>
      <c r="K301" s="64"/>
      <c r="L301" s="39"/>
      <c r="M301" s="61">
        <v>1025.8</v>
      </c>
      <c r="N301" s="32"/>
      <c r="O301" s="26"/>
      <c r="P301" s="40"/>
      <c r="Q301" s="26"/>
      <c r="R301" s="26"/>
      <c r="S301" s="26"/>
      <c r="T301" s="26"/>
    </row>
    <row r="302" spans="1:20" s="43" customFormat="1" ht="22.5" x14ac:dyDescent="0.25">
      <c r="A302" s="38" t="s">
        <v>29</v>
      </c>
      <c r="B302" s="53" t="s">
        <v>860</v>
      </c>
      <c r="C302" s="41" t="s">
        <v>861</v>
      </c>
      <c r="D302" s="38" t="s">
        <v>851</v>
      </c>
      <c r="E302" s="6"/>
      <c r="F302" s="2"/>
      <c r="G302" s="26"/>
      <c r="H302" s="27"/>
      <c r="I302" s="27"/>
      <c r="J302" s="28"/>
      <c r="K302" s="64"/>
      <c r="L302" s="39"/>
      <c r="M302" s="61">
        <v>20087.57</v>
      </c>
      <c r="N302" s="32"/>
      <c r="O302" s="26"/>
      <c r="P302" s="40"/>
      <c r="Q302" s="26"/>
      <c r="R302" s="26"/>
      <c r="S302" s="26"/>
      <c r="T302" s="26"/>
    </row>
    <row r="303" spans="1:20" s="43" customFormat="1" ht="22.5" x14ac:dyDescent="0.25">
      <c r="A303" s="38" t="s">
        <v>29</v>
      </c>
      <c r="B303" s="53" t="s">
        <v>862</v>
      </c>
      <c r="C303" s="41" t="s">
        <v>863</v>
      </c>
      <c r="D303" s="38" t="s">
        <v>851</v>
      </c>
      <c r="E303" s="6"/>
      <c r="F303" s="2"/>
      <c r="G303" s="26"/>
      <c r="H303" s="27"/>
      <c r="I303" s="27"/>
      <c r="J303" s="28"/>
      <c r="K303" s="64"/>
      <c r="L303" s="39"/>
      <c r="M303" s="61">
        <v>235.94</v>
      </c>
      <c r="N303" s="32"/>
      <c r="O303" s="26"/>
      <c r="P303" s="40"/>
      <c r="Q303" s="26"/>
      <c r="R303" s="26"/>
      <c r="S303" s="26"/>
      <c r="T303" s="26"/>
    </row>
    <row r="304" spans="1:20" s="43" customFormat="1" ht="45" x14ac:dyDescent="0.25">
      <c r="A304" s="38" t="s">
        <v>29</v>
      </c>
      <c r="B304" s="53" t="s">
        <v>864</v>
      </c>
      <c r="C304" s="41" t="s">
        <v>865</v>
      </c>
      <c r="D304" s="38" t="s">
        <v>851</v>
      </c>
      <c r="E304" s="6"/>
      <c r="F304" s="2"/>
      <c r="G304" s="26"/>
      <c r="H304" s="27"/>
      <c r="I304" s="27"/>
      <c r="J304" s="28"/>
      <c r="K304" s="64"/>
      <c r="L304" s="39"/>
      <c r="M304" s="61">
        <v>82885.2</v>
      </c>
      <c r="N304" s="32"/>
      <c r="O304" s="26"/>
      <c r="P304" s="40"/>
      <c r="Q304" s="26"/>
      <c r="R304" s="26"/>
      <c r="S304" s="26"/>
      <c r="T304" s="28"/>
    </row>
    <row r="305" spans="1:20" s="43" customFormat="1" ht="45.75" thickBot="1" x14ac:dyDescent="0.3">
      <c r="A305" s="38" t="s">
        <v>29</v>
      </c>
      <c r="B305" s="53" t="s">
        <v>866</v>
      </c>
      <c r="C305" s="80" t="s">
        <v>849</v>
      </c>
      <c r="D305" s="38" t="s">
        <v>851</v>
      </c>
      <c r="E305" s="6"/>
      <c r="F305" s="2"/>
      <c r="G305" s="26"/>
      <c r="H305" s="27"/>
      <c r="I305" s="27"/>
      <c r="J305" s="28"/>
      <c r="K305" s="64"/>
      <c r="L305" s="39"/>
      <c r="M305" s="61">
        <v>13479.61</v>
      </c>
      <c r="N305" s="32"/>
      <c r="O305" s="26"/>
      <c r="P305" s="40"/>
      <c r="Q305" s="26"/>
      <c r="R305" s="26"/>
      <c r="S305" s="26"/>
      <c r="T305" s="28"/>
    </row>
    <row r="306" spans="1:20" s="43" customFormat="1" ht="67.5" x14ac:dyDescent="0.25">
      <c r="A306" s="38" t="s">
        <v>489</v>
      </c>
      <c r="B306" s="23">
        <v>178</v>
      </c>
      <c r="C306" s="41" t="s">
        <v>867</v>
      </c>
      <c r="D306" s="38" t="s">
        <v>868</v>
      </c>
      <c r="E306" s="6">
        <v>430000</v>
      </c>
      <c r="F306" s="2">
        <v>430000</v>
      </c>
      <c r="G306" s="26" t="s">
        <v>869</v>
      </c>
      <c r="H306" s="27" t="s">
        <v>19</v>
      </c>
      <c r="I306" s="27" t="s">
        <v>19</v>
      </c>
      <c r="J306" s="28">
        <v>43790</v>
      </c>
      <c r="K306" s="39" t="s">
        <v>870</v>
      </c>
      <c r="L306" s="35">
        <v>8.677E-2</v>
      </c>
      <c r="M306" s="6">
        <v>430000</v>
      </c>
      <c r="N306" s="26">
        <v>43811</v>
      </c>
      <c r="O306" s="26">
        <v>43908</v>
      </c>
      <c r="P306" s="40" t="s">
        <v>871</v>
      </c>
      <c r="Q306" s="27" t="s">
        <v>39</v>
      </c>
      <c r="R306" s="26"/>
      <c r="S306" s="26"/>
      <c r="T306" s="26"/>
    </row>
    <row r="307" spans="1:20" s="43" customFormat="1" ht="157.5" x14ac:dyDescent="0.25">
      <c r="A307" s="38" t="s">
        <v>18</v>
      </c>
      <c r="B307" s="23">
        <v>179</v>
      </c>
      <c r="C307" s="41" t="s">
        <v>872</v>
      </c>
      <c r="D307" s="38" t="s">
        <v>873</v>
      </c>
      <c r="E307" s="6">
        <v>1842000</v>
      </c>
      <c r="F307" s="8">
        <f>1684500+45500+46066.87</f>
        <v>1776066.87</v>
      </c>
      <c r="G307" s="26" t="s">
        <v>874</v>
      </c>
      <c r="H307" s="27" t="s">
        <v>19</v>
      </c>
      <c r="I307" s="27" t="s">
        <v>19</v>
      </c>
      <c r="J307" s="28">
        <v>43803</v>
      </c>
      <c r="K307" s="64" t="s">
        <v>1685</v>
      </c>
      <c r="L307" s="35">
        <v>0.23321</v>
      </c>
      <c r="M307" s="31">
        <v>1372481.37</v>
      </c>
      <c r="N307" s="32">
        <v>43867</v>
      </c>
      <c r="O307" s="26" t="s">
        <v>1686</v>
      </c>
      <c r="P307" s="40" t="s">
        <v>1499</v>
      </c>
      <c r="Q307" s="26" t="s">
        <v>875</v>
      </c>
      <c r="R307" s="26" t="s">
        <v>815</v>
      </c>
      <c r="S307" s="26">
        <v>44355</v>
      </c>
      <c r="T307" s="26">
        <v>44586</v>
      </c>
    </row>
    <row r="308" spans="1:20" s="43" customFormat="1" ht="33.75" x14ac:dyDescent="0.25">
      <c r="A308" s="38" t="s">
        <v>18</v>
      </c>
      <c r="B308" s="53" t="s">
        <v>876</v>
      </c>
      <c r="C308" s="41" t="s">
        <v>877</v>
      </c>
      <c r="D308" s="38"/>
      <c r="E308" s="6"/>
      <c r="F308" s="8"/>
      <c r="G308" s="26"/>
      <c r="H308" s="27"/>
      <c r="I308" s="27"/>
      <c r="J308" s="28"/>
      <c r="K308" s="64"/>
      <c r="L308" s="35"/>
      <c r="M308" s="31">
        <v>141721.42000000001</v>
      </c>
      <c r="N308" s="32"/>
      <c r="O308" s="26"/>
      <c r="P308" s="40"/>
      <c r="Q308" s="26"/>
      <c r="R308" s="26"/>
      <c r="S308" s="26"/>
      <c r="T308" s="28"/>
    </row>
    <row r="309" spans="1:20" s="43" customFormat="1" ht="33.75" x14ac:dyDescent="0.25">
      <c r="A309" s="38" t="s">
        <v>18</v>
      </c>
      <c r="B309" s="53" t="s">
        <v>878</v>
      </c>
      <c r="C309" s="41" t="s">
        <v>879</v>
      </c>
      <c r="D309" s="38"/>
      <c r="E309" s="6"/>
      <c r="F309" s="8"/>
      <c r="G309" s="26"/>
      <c r="H309" s="27"/>
      <c r="I309" s="27"/>
      <c r="J309" s="28"/>
      <c r="K309" s="64"/>
      <c r="L309" s="35"/>
      <c r="M309" s="31">
        <v>35944.620000000003</v>
      </c>
      <c r="N309" s="32"/>
      <c r="O309" s="26"/>
      <c r="P309" s="40"/>
      <c r="Q309" s="26"/>
      <c r="R309" s="26"/>
      <c r="S309" s="26"/>
      <c r="T309" s="28"/>
    </row>
    <row r="310" spans="1:20" s="43" customFormat="1" ht="56.25" x14ac:dyDescent="0.25">
      <c r="A310" s="38" t="s">
        <v>18</v>
      </c>
      <c r="B310" s="53" t="s">
        <v>880</v>
      </c>
      <c r="C310" s="41" t="s">
        <v>881</v>
      </c>
      <c r="D310" s="38"/>
      <c r="E310" s="6"/>
      <c r="F310" s="8"/>
      <c r="G310" s="26"/>
      <c r="H310" s="27"/>
      <c r="I310" s="27"/>
      <c r="J310" s="28"/>
      <c r="K310" s="64"/>
      <c r="L310" s="35"/>
      <c r="M310" s="31">
        <v>11685.93</v>
      </c>
      <c r="N310" s="32"/>
      <c r="O310" s="26"/>
      <c r="P310" s="40"/>
      <c r="Q310" s="26"/>
      <c r="R310" s="26"/>
      <c r="S310" s="26"/>
      <c r="T310" s="28"/>
    </row>
    <row r="311" spans="1:20" s="43" customFormat="1" ht="191.25" x14ac:dyDescent="0.25">
      <c r="A311" s="38" t="s">
        <v>29</v>
      </c>
      <c r="B311" s="23">
        <v>180</v>
      </c>
      <c r="C311" s="41" t="s">
        <v>882</v>
      </c>
      <c r="D311" s="38" t="s">
        <v>851</v>
      </c>
      <c r="E311" s="6">
        <v>225000</v>
      </c>
      <c r="F311" s="2">
        <f>177488.72+3200.92</f>
        <v>180689.64</v>
      </c>
      <c r="G311" s="27" t="s">
        <v>19</v>
      </c>
      <c r="H311" s="27" t="s">
        <v>19</v>
      </c>
      <c r="I311" s="29" t="s">
        <v>883</v>
      </c>
      <c r="J311" s="28">
        <v>43794</v>
      </c>
      <c r="K311" s="64" t="s">
        <v>884</v>
      </c>
      <c r="L311" s="39">
        <v>9.4999999999999998E-3</v>
      </c>
      <c r="M311" s="61">
        <v>179003.5</v>
      </c>
      <c r="N311" s="26">
        <v>43805</v>
      </c>
      <c r="O311" s="26" t="s">
        <v>1687</v>
      </c>
      <c r="P311" s="40">
        <v>220</v>
      </c>
      <c r="Q311" s="26" t="s">
        <v>716</v>
      </c>
      <c r="R311" s="26"/>
      <c r="S311" s="26">
        <v>44204</v>
      </c>
      <c r="T311" s="26">
        <v>44207</v>
      </c>
    </row>
    <row r="312" spans="1:20" s="43" customFormat="1" ht="56.25" x14ac:dyDescent="0.25">
      <c r="A312" s="38" t="s">
        <v>18</v>
      </c>
      <c r="B312" s="23">
        <v>181</v>
      </c>
      <c r="C312" s="41" t="s">
        <v>885</v>
      </c>
      <c r="D312" s="38" t="s">
        <v>708</v>
      </c>
      <c r="E312" s="6">
        <v>230000</v>
      </c>
      <c r="F312" s="2">
        <f>200500+4500</f>
        <v>205000</v>
      </c>
      <c r="G312" s="27" t="s">
        <v>19</v>
      </c>
      <c r="H312" s="27" t="s">
        <v>19</v>
      </c>
      <c r="I312" s="29" t="s">
        <v>886</v>
      </c>
      <c r="J312" s="28">
        <v>43731</v>
      </c>
      <c r="K312" s="64" t="s">
        <v>734</v>
      </c>
      <c r="L312" s="39">
        <v>0.1515</v>
      </c>
      <c r="M312" s="61">
        <v>174624.25</v>
      </c>
      <c r="N312" s="26">
        <v>43748</v>
      </c>
      <c r="O312" s="26">
        <v>43838</v>
      </c>
      <c r="P312" s="40">
        <v>120</v>
      </c>
      <c r="Q312" s="26">
        <v>43839</v>
      </c>
      <c r="R312" s="26"/>
      <c r="S312" s="26">
        <v>43978</v>
      </c>
      <c r="T312" s="26">
        <v>43978</v>
      </c>
    </row>
    <row r="313" spans="1:20" s="43" customFormat="1" ht="90" x14ac:dyDescent="0.25">
      <c r="A313" s="38" t="s">
        <v>29</v>
      </c>
      <c r="B313" s="23">
        <v>182</v>
      </c>
      <c r="C313" s="41" t="s">
        <v>887</v>
      </c>
      <c r="D313" s="38" t="s">
        <v>888</v>
      </c>
      <c r="E313" s="6">
        <v>210000</v>
      </c>
      <c r="F313" s="2">
        <f>191000+4000</f>
        <v>195000</v>
      </c>
      <c r="G313" s="27" t="s">
        <v>19</v>
      </c>
      <c r="H313" s="27" t="s">
        <v>19</v>
      </c>
      <c r="I313" s="29" t="s">
        <v>889</v>
      </c>
      <c r="J313" s="28">
        <v>43815</v>
      </c>
      <c r="K313" s="64" t="s">
        <v>734</v>
      </c>
      <c r="L313" s="39">
        <v>0.1515</v>
      </c>
      <c r="M313" s="61">
        <v>166063.5</v>
      </c>
      <c r="N313" s="32">
        <v>43840</v>
      </c>
      <c r="O313" s="26">
        <v>43878</v>
      </c>
      <c r="P313" s="40">
        <v>120</v>
      </c>
      <c r="Q313" s="26">
        <v>43878</v>
      </c>
      <c r="R313" s="26" t="s">
        <v>890</v>
      </c>
      <c r="S313" s="26">
        <v>44271</v>
      </c>
      <c r="T313" s="26">
        <v>44316</v>
      </c>
    </row>
    <row r="314" spans="1:20" s="43" customFormat="1" ht="56.25" x14ac:dyDescent="0.25">
      <c r="A314" s="38" t="s">
        <v>29</v>
      </c>
      <c r="B314" s="23">
        <v>183</v>
      </c>
      <c r="C314" s="41" t="s">
        <v>891</v>
      </c>
      <c r="D314" s="38" t="s">
        <v>892</v>
      </c>
      <c r="E314" s="6">
        <v>230000</v>
      </c>
      <c r="F314" s="2">
        <f>150000+4000</f>
        <v>154000</v>
      </c>
      <c r="G314" s="27" t="s">
        <v>19</v>
      </c>
      <c r="H314" s="27" t="s">
        <v>19</v>
      </c>
      <c r="I314" s="29" t="s">
        <v>893</v>
      </c>
      <c r="J314" s="28">
        <v>43858</v>
      </c>
      <c r="K314" s="39" t="s">
        <v>894</v>
      </c>
      <c r="L314" s="35">
        <v>0.21856</v>
      </c>
      <c r="M314" s="61">
        <v>121216</v>
      </c>
      <c r="N314" s="32">
        <v>43874</v>
      </c>
      <c r="O314" s="26">
        <v>43937</v>
      </c>
      <c r="P314" s="40">
        <v>120</v>
      </c>
      <c r="Q314" s="26">
        <v>44165</v>
      </c>
      <c r="R314" s="26"/>
      <c r="S314" s="26">
        <v>44391</v>
      </c>
      <c r="T314" s="26">
        <v>44407</v>
      </c>
    </row>
    <row r="315" spans="1:20" s="43" customFormat="1" ht="22.5" x14ac:dyDescent="0.25">
      <c r="A315" s="38" t="s">
        <v>29</v>
      </c>
      <c r="B315" s="53" t="s">
        <v>895</v>
      </c>
      <c r="C315" s="41" t="s">
        <v>896</v>
      </c>
      <c r="D315" s="38"/>
      <c r="E315" s="6"/>
      <c r="F315" s="2"/>
      <c r="G315" s="27"/>
      <c r="H315" s="27"/>
      <c r="I315" s="29"/>
      <c r="J315" s="28"/>
      <c r="K315" s="39"/>
      <c r="L315" s="35"/>
      <c r="M315" s="61">
        <v>12503.04</v>
      </c>
      <c r="N315" s="32"/>
      <c r="O315" s="26"/>
      <c r="P315" s="40"/>
      <c r="Q315" s="26"/>
      <c r="R315" s="26"/>
      <c r="S315" s="26"/>
      <c r="T315" s="28"/>
    </row>
    <row r="316" spans="1:20" s="43" customFormat="1" ht="112.5" x14ac:dyDescent="0.25">
      <c r="A316" s="38"/>
      <c r="B316" s="53" t="s">
        <v>897</v>
      </c>
      <c r="C316" s="41" t="s">
        <v>898</v>
      </c>
      <c r="D316" s="38" t="s">
        <v>868</v>
      </c>
      <c r="E316" s="6">
        <v>4450000</v>
      </c>
      <c r="F316" s="2">
        <f>4154249.87+173093.74</f>
        <v>4327343.6100000003</v>
      </c>
      <c r="G316" s="26" t="s">
        <v>899</v>
      </c>
      <c r="H316" s="27"/>
      <c r="I316" s="27"/>
      <c r="J316" s="28">
        <v>43885</v>
      </c>
      <c r="K316" s="64" t="s">
        <v>900</v>
      </c>
      <c r="L316" s="35">
        <v>0.12665999999999999</v>
      </c>
      <c r="M316" s="61">
        <v>3801166.32</v>
      </c>
      <c r="N316" s="32">
        <v>44042</v>
      </c>
      <c r="O316" s="26" t="s">
        <v>1688</v>
      </c>
      <c r="P316" s="40" t="s">
        <v>901</v>
      </c>
      <c r="Q316" s="26">
        <v>44116</v>
      </c>
      <c r="R316" s="26" t="s">
        <v>902</v>
      </c>
      <c r="S316" s="26">
        <v>44872</v>
      </c>
      <c r="T316" s="26"/>
    </row>
    <row r="317" spans="1:20" s="43" customFormat="1" ht="56.25" x14ac:dyDescent="0.25">
      <c r="A317" s="38"/>
      <c r="B317" s="53" t="s">
        <v>903</v>
      </c>
      <c r="C317" s="41" t="s">
        <v>904</v>
      </c>
      <c r="D317" s="38" t="s">
        <v>868</v>
      </c>
      <c r="E317" s="6"/>
      <c r="F317" s="2"/>
      <c r="G317" s="26"/>
      <c r="H317" s="27"/>
      <c r="I317" s="27"/>
      <c r="J317" s="28"/>
      <c r="K317" s="64"/>
      <c r="L317" s="35"/>
      <c r="M317" s="61">
        <v>355081.72</v>
      </c>
      <c r="N317" s="32"/>
      <c r="O317" s="26"/>
      <c r="P317" s="40"/>
      <c r="Q317" s="26"/>
      <c r="R317" s="26"/>
      <c r="S317" s="26"/>
      <c r="T317" s="26"/>
    </row>
    <row r="318" spans="1:20" s="43" customFormat="1" ht="67.5" x14ac:dyDescent="0.25">
      <c r="A318" s="38" t="s">
        <v>18</v>
      </c>
      <c r="B318" s="23"/>
      <c r="C318" s="41" t="s">
        <v>905</v>
      </c>
      <c r="D318" s="38" t="s">
        <v>708</v>
      </c>
      <c r="E318" s="6">
        <v>81967.210000000006</v>
      </c>
      <c r="F318" s="2">
        <f>64104.37+757.02</f>
        <v>64861.39</v>
      </c>
      <c r="G318" s="27" t="s">
        <v>19</v>
      </c>
      <c r="H318" s="27" t="s">
        <v>19</v>
      </c>
      <c r="I318" s="29" t="s">
        <v>906</v>
      </c>
      <c r="J318" s="28">
        <v>43871</v>
      </c>
      <c r="K318" s="64" t="s">
        <v>907</v>
      </c>
      <c r="L318" s="39">
        <v>0.16200000000000001</v>
      </c>
      <c r="M318" s="61">
        <v>54476.480000000003</v>
      </c>
      <c r="N318" s="32">
        <v>43886</v>
      </c>
      <c r="O318" s="26">
        <v>43957</v>
      </c>
      <c r="P318" s="40">
        <v>45</v>
      </c>
      <c r="Q318" s="26">
        <v>43969</v>
      </c>
      <c r="R318" s="26"/>
      <c r="S318" s="26"/>
      <c r="T318" s="26">
        <v>44134</v>
      </c>
    </row>
    <row r="319" spans="1:20" s="43" customFormat="1" ht="78.75" x14ac:dyDescent="0.25">
      <c r="A319" s="38" t="s">
        <v>18</v>
      </c>
      <c r="B319" s="23"/>
      <c r="C319" s="41" t="s">
        <v>908</v>
      </c>
      <c r="D319" s="38" t="s">
        <v>656</v>
      </c>
      <c r="E319" s="6">
        <v>528577.84</v>
      </c>
      <c r="F319" s="2">
        <f>428968.51+33486.58</f>
        <v>462455.09</v>
      </c>
      <c r="G319" s="26" t="s">
        <v>909</v>
      </c>
      <c r="H319" s="27" t="s">
        <v>19</v>
      </c>
      <c r="I319" s="27" t="s">
        <v>19</v>
      </c>
      <c r="J319" s="28">
        <v>43903</v>
      </c>
      <c r="K319" s="64" t="s">
        <v>910</v>
      </c>
      <c r="L319" s="35">
        <v>0.26130999999999999</v>
      </c>
      <c r="M319" s="61">
        <v>350361.33</v>
      </c>
      <c r="N319" s="32">
        <v>44004</v>
      </c>
      <c r="O319" s="26">
        <v>44090</v>
      </c>
      <c r="P319" s="40">
        <v>200</v>
      </c>
      <c r="Q319" s="26">
        <v>44158</v>
      </c>
      <c r="R319" s="26"/>
      <c r="S319" s="26">
        <v>44960</v>
      </c>
      <c r="T319" s="26"/>
    </row>
    <row r="320" spans="1:20" s="43" customFormat="1" ht="11.25" x14ac:dyDescent="0.25">
      <c r="A320" s="38"/>
      <c r="B320" s="23"/>
      <c r="C320" s="41" t="s">
        <v>911</v>
      </c>
      <c r="D320" s="38" t="s">
        <v>656</v>
      </c>
      <c r="E320" s="6"/>
      <c r="F320" s="2"/>
      <c r="G320" s="26"/>
      <c r="H320" s="27"/>
      <c r="I320" s="27"/>
      <c r="J320" s="28"/>
      <c r="K320" s="64"/>
      <c r="L320" s="35"/>
      <c r="M320" s="61">
        <v>1344.64</v>
      </c>
      <c r="N320" s="32"/>
      <c r="O320" s="26"/>
      <c r="P320" s="40"/>
      <c r="Q320" s="26"/>
      <c r="R320" s="26"/>
      <c r="S320" s="26"/>
      <c r="T320" s="26"/>
    </row>
    <row r="321" spans="1:20" s="43" customFormat="1" ht="45" x14ac:dyDescent="0.25">
      <c r="A321" s="38" t="s">
        <v>18</v>
      </c>
      <c r="B321" s="23"/>
      <c r="C321" s="41" t="s">
        <v>912</v>
      </c>
      <c r="D321" s="38" t="s">
        <v>656</v>
      </c>
      <c r="E321" s="6"/>
      <c r="F321" s="2"/>
      <c r="G321" s="26"/>
      <c r="H321" s="27"/>
      <c r="I321" s="27"/>
      <c r="J321" s="28"/>
      <c r="K321" s="64"/>
      <c r="L321" s="35"/>
      <c r="M321" s="61">
        <v>37896.6</v>
      </c>
      <c r="N321" s="32"/>
      <c r="O321" s="26"/>
      <c r="P321" s="40"/>
      <c r="Q321" s="26"/>
      <c r="R321" s="26"/>
      <c r="S321" s="26"/>
      <c r="T321" s="26"/>
    </row>
    <row r="322" spans="1:20" s="43" customFormat="1" ht="101.25" x14ac:dyDescent="0.25">
      <c r="A322" s="38" t="s">
        <v>18</v>
      </c>
      <c r="B322" s="23"/>
      <c r="C322" s="41" t="s">
        <v>913</v>
      </c>
      <c r="D322" s="38" t="s">
        <v>656</v>
      </c>
      <c r="E322" s="6"/>
      <c r="F322" s="2"/>
      <c r="G322" s="26"/>
      <c r="H322" s="27"/>
      <c r="I322" s="27"/>
      <c r="J322" s="28"/>
      <c r="K322" s="64"/>
      <c r="L322" s="35"/>
      <c r="M322" s="61">
        <v>7425.05</v>
      </c>
      <c r="N322" s="32"/>
      <c r="O322" s="26"/>
      <c r="P322" s="40"/>
      <c r="Q322" s="26"/>
      <c r="R322" s="26"/>
      <c r="S322" s="26"/>
      <c r="T322" s="26"/>
    </row>
    <row r="323" spans="1:20" s="43" customFormat="1" ht="56.25" x14ac:dyDescent="0.25">
      <c r="A323" s="38" t="s">
        <v>489</v>
      </c>
      <c r="B323" s="23"/>
      <c r="C323" s="41" t="s">
        <v>914</v>
      </c>
      <c r="D323" s="38" t="s">
        <v>868</v>
      </c>
      <c r="E323" s="6">
        <v>99000</v>
      </c>
      <c r="F323" s="6">
        <v>99000</v>
      </c>
      <c r="G323" s="26" t="s">
        <v>1498</v>
      </c>
      <c r="H323" s="27"/>
      <c r="I323" s="27"/>
      <c r="J323" s="28">
        <v>43986</v>
      </c>
      <c r="K323" s="64" t="s">
        <v>915</v>
      </c>
      <c r="L323" s="35">
        <v>6.6420000000000007E-2</v>
      </c>
      <c r="M323" s="6">
        <v>99000</v>
      </c>
      <c r="N323" s="32">
        <v>44033</v>
      </c>
      <c r="O323" s="26">
        <v>44078</v>
      </c>
      <c r="P323" s="40" t="s">
        <v>871</v>
      </c>
      <c r="Q323" s="27" t="s">
        <v>39</v>
      </c>
      <c r="R323" s="26"/>
      <c r="S323" s="26"/>
      <c r="T323" s="26"/>
    </row>
    <row r="324" spans="1:20" s="43" customFormat="1" ht="78.75" x14ac:dyDescent="0.25">
      <c r="A324" s="38" t="s">
        <v>489</v>
      </c>
      <c r="B324" s="23"/>
      <c r="C324" s="41" t="s">
        <v>916</v>
      </c>
      <c r="D324" s="38" t="s">
        <v>868</v>
      </c>
      <c r="E324" s="6">
        <v>120000</v>
      </c>
      <c r="F324" s="6">
        <v>120000</v>
      </c>
      <c r="G324" s="26" t="s">
        <v>1497</v>
      </c>
      <c r="H324" s="27"/>
      <c r="I324" s="27"/>
      <c r="J324" s="28">
        <v>43991</v>
      </c>
      <c r="K324" s="28" t="s">
        <v>917</v>
      </c>
      <c r="L324" s="35">
        <v>2.5760000000000002E-2</v>
      </c>
      <c r="M324" s="6">
        <v>120000</v>
      </c>
      <c r="N324" s="32">
        <v>44034</v>
      </c>
      <c r="O324" s="26">
        <v>44081</v>
      </c>
      <c r="P324" s="40" t="s">
        <v>871</v>
      </c>
      <c r="Q324" s="27" t="s">
        <v>39</v>
      </c>
      <c r="R324" s="26"/>
      <c r="S324" s="26"/>
      <c r="T324" s="26"/>
    </row>
    <row r="325" spans="1:20" s="43" customFormat="1" ht="78.75" x14ac:dyDescent="0.25">
      <c r="A325" s="38" t="s">
        <v>29</v>
      </c>
      <c r="B325" s="23"/>
      <c r="C325" s="41" t="s">
        <v>918</v>
      </c>
      <c r="D325" s="38" t="s">
        <v>919</v>
      </c>
      <c r="E325" s="6">
        <v>313000</v>
      </c>
      <c r="F325" s="6">
        <f>284092.78+9764.05</f>
        <v>293856.83</v>
      </c>
      <c r="G325" s="26" t="s">
        <v>1689</v>
      </c>
      <c r="H325" s="27" t="s">
        <v>19</v>
      </c>
      <c r="I325" s="27" t="s">
        <v>19</v>
      </c>
      <c r="J325" s="28">
        <v>44005</v>
      </c>
      <c r="K325" s="28" t="s">
        <v>920</v>
      </c>
      <c r="L325" s="35">
        <v>0.25540000000000002</v>
      </c>
      <c r="M325" s="31">
        <v>221299.53</v>
      </c>
      <c r="N325" s="32">
        <v>44028</v>
      </c>
      <c r="O325" s="26" t="s">
        <v>1690</v>
      </c>
      <c r="P325" s="40">
        <v>180</v>
      </c>
      <c r="Q325" s="26">
        <v>44127</v>
      </c>
      <c r="R325" s="26">
        <v>44180</v>
      </c>
      <c r="S325" s="26">
        <v>44523</v>
      </c>
      <c r="T325" s="26">
        <v>44602</v>
      </c>
    </row>
    <row r="326" spans="1:20" s="43" customFormat="1" ht="22.5" x14ac:dyDescent="0.25">
      <c r="A326" s="38" t="s">
        <v>29</v>
      </c>
      <c r="B326" s="23"/>
      <c r="C326" s="41" t="s">
        <v>921</v>
      </c>
      <c r="D326" s="38"/>
      <c r="E326" s="6"/>
      <c r="F326" s="6"/>
      <c r="G326" s="26"/>
      <c r="H326" s="27"/>
      <c r="I326" s="27"/>
      <c r="J326" s="28"/>
      <c r="K326" s="28"/>
      <c r="L326" s="35"/>
      <c r="M326" s="31">
        <v>20416.84</v>
      </c>
      <c r="N326" s="32"/>
      <c r="O326" s="26"/>
      <c r="P326" s="40"/>
      <c r="Q326" s="26"/>
      <c r="R326" s="26"/>
      <c r="S326" s="26"/>
      <c r="T326" s="26"/>
    </row>
    <row r="327" spans="1:20" s="43" customFormat="1" ht="56.25" x14ac:dyDescent="0.25">
      <c r="A327" s="38"/>
      <c r="B327" s="23"/>
      <c r="C327" s="41" t="s">
        <v>922</v>
      </c>
      <c r="D327" s="38"/>
      <c r="E327" s="6"/>
      <c r="F327" s="6"/>
      <c r="G327" s="26"/>
      <c r="H327" s="27"/>
      <c r="I327" s="27"/>
      <c r="J327" s="28"/>
      <c r="K327" s="28"/>
      <c r="L327" s="35"/>
      <c r="M327" s="31">
        <v>7290.87</v>
      </c>
      <c r="N327" s="32"/>
      <c r="O327" s="26"/>
      <c r="P327" s="40"/>
      <c r="Q327" s="26"/>
      <c r="R327" s="26"/>
      <c r="S327" s="26"/>
      <c r="T327" s="26"/>
    </row>
    <row r="328" spans="1:20" s="43" customFormat="1" ht="180" x14ac:dyDescent="0.25">
      <c r="A328" s="38" t="s">
        <v>29</v>
      </c>
      <c r="B328" s="23"/>
      <c r="C328" s="41" t="s">
        <v>923</v>
      </c>
      <c r="D328" s="38" t="s">
        <v>851</v>
      </c>
      <c r="E328" s="6">
        <v>1607400</v>
      </c>
      <c r="F328" s="2">
        <f>1335618.42+34409.85</f>
        <v>1370028.27</v>
      </c>
      <c r="G328" s="26" t="s">
        <v>924</v>
      </c>
      <c r="H328" s="27"/>
      <c r="I328" s="27"/>
      <c r="J328" s="28">
        <v>44012</v>
      </c>
      <c r="K328" s="38" t="s">
        <v>925</v>
      </c>
      <c r="L328" s="39">
        <v>2.6599999999999999E-2</v>
      </c>
      <c r="M328" s="31">
        <v>1334500.82</v>
      </c>
      <c r="N328" s="32">
        <v>44088</v>
      </c>
      <c r="O328" s="26" t="s">
        <v>1691</v>
      </c>
      <c r="P328" s="40">
        <v>504</v>
      </c>
      <c r="Q328" s="26">
        <v>44124</v>
      </c>
      <c r="R328" s="26" t="s">
        <v>926</v>
      </c>
      <c r="S328" s="28"/>
      <c r="T328" s="26">
        <v>45135</v>
      </c>
    </row>
    <row r="329" spans="1:20" s="43" customFormat="1" ht="33.75" x14ac:dyDescent="0.25">
      <c r="A329" s="38" t="s">
        <v>29</v>
      </c>
      <c r="B329" s="23"/>
      <c r="C329" s="41" t="s">
        <v>927</v>
      </c>
      <c r="D329" s="38" t="s">
        <v>851</v>
      </c>
      <c r="E329" s="6"/>
      <c r="F329" s="2"/>
      <c r="G329" s="26"/>
      <c r="H329" s="27"/>
      <c r="I329" s="27"/>
      <c r="J329" s="28"/>
      <c r="K329" s="38"/>
      <c r="L329" s="39"/>
      <c r="M329" s="31">
        <v>56200</v>
      </c>
      <c r="N329" s="32"/>
      <c r="O329" s="26"/>
      <c r="P329" s="40"/>
      <c r="Q329" s="26"/>
      <c r="R329" s="26"/>
      <c r="S329" s="28"/>
      <c r="T329" s="26"/>
    </row>
    <row r="330" spans="1:20" s="43" customFormat="1" ht="67.5" x14ac:dyDescent="0.25">
      <c r="A330" s="38" t="s">
        <v>29</v>
      </c>
      <c r="B330" s="23"/>
      <c r="C330" s="41" t="s">
        <v>928</v>
      </c>
      <c r="D330" s="38" t="s">
        <v>851</v>
      </c>
      <c r="E330" s="6"/>
      <c r="F330" s="2"/>
      <c r="G330" s="26"/>
      <c r="H330" s="27"/>
      <c r="I330" s="27"/>
      <c r="J330" s="28"/>
      <c r="K330" s="38"/>
      <c r="L330" s="39"/>
      <c r="M330" s="31">
        <v>9970.4699999999993</v>
      </c>
      <c r="N330" s="32"/>
      <c r="O330" s="26"/>
      <c r="P330" s="40"/>
      <c r="Q330" s="26"/>
      <c r="R330" s="26"/>
      <c r="S330" s="28"/>
      <c r="T330" s="26"/>
    </row>
    <row r="331" spans="1:20" s="43" customFormat="1" ht="101.25" x14ac:dyDescent="0.25">
      <c r="A331" s="38" t="s">
        <v>29</v>
      </c>
      <c r="B331" s="23"/>
      <c r="C331" s="41" t="s">
        <v>929</v>
      </c>
      <c r="D331" s="38" t="s">
        <v>851</v>
      </c>
      <c r="E331" s="6"/>
      <c r="F331" s="2"/>
      <c r="G331" s="26"/>
      <c r="H331" s="27"/>
      <c r="I331" s="27"/>
      <c r="J331" s="28"/>
      <c r="K331" s="38"/>
      <c r="L331" s="39"/>
      <c r="M331" s="31">
        <v>330519.34999999998</v>
      </c>
      <c r="N331" s="32"/>
      <c r="O331" s="26"/>
      <c r="P331" s="40"/>
      <c r="Q331" s="26"/>
      <c r="R331" s="26"/>
      <c r="S331" s="28"/>
      <c r="T331" s="26"/>
    </row>
    <row r="332" spans="1:20" s="43" customFormat="1" ht="78.75" x14ac:dyDescent="0.25">
      <c r="A332" s="38" t="s">
        <v>18</v>
      </c>
      <c r="B332" s="23"/>
      <c r="C332" s="41" t="s">
        <v>930</v>
      </c>
      <c r="D332" s="38" t="s">
        <v>708</v>
      </c>
      <c r="E332" s="6">
        <v>415749.24</v>
      </c>
      <c r="F332" s="2">
        <f>381902.95+17070.17</f>
        <v>398973.12</v>
      </c>
      <c r="G332" s="26" t="s">
        <v>931</v>
      </c>
      <c r="H332" s="27" t="s">
        <v>19</v>
      </c>
      <c r="I332" s="27" t="s">
        <v>19</v>
      </c>
      <c r="J332" s="28">
        <v>44020</v>
      </c>
      <c r="K332" s="38" t="s">
        <v>542</v>
      </c>
      <c r="L332" s="35">
        <v>0.25417000000000001</v>
      </c>
      <c r="M332" s="31">
        <v>301904.84999999998</v>
      </c>
      <c r="N332" s="32">
        <v>44046</v>
      </c>
      <c r="O332" s="26" t="s">
        <v>1690</v>
      </c>
      <c r="P332" s="40">
        <v>180</v>
      </c>
      <c r="Q332" s="26">
        <v>44104</v>
      </c>
      <c r="R332" s="26" t="s">
        <v>932</v>
      </c>
      <c r="S332" s="26">
        <v>44841</v>
      </c>
      <c r="T332" s="26"/>
    </row>
    <row r="333" spans="1:20" s="43" customFormat="1" ht="22.5" x14ac:dyDescent="0.25">
      <c r="A333" s="38" t="s">
        <v>18</v>
      </c>
      <c r="B333" s="23"/>
      <c r="C333" s="41" t="s">
        <v>933</v>
      </c>
      <c r="D333" s="38"/>
      <c r="E333" s="6"/>
      <c r="F333" s="2"/>
      <c r="G333" s="26"/>
      <c r="H333" s="27"/>
      <c r="I333" s="27"/>
      <c r="J333" s="28"/>
      <c r="K333" s="38"/>
      <c r="L333" s="35"/>
      <c r="M333" s="31">
        <v>74377.94</v>
      </c>
      <c r="N333" s="32"/>
      <c r="O333" s="26"/>
      <c r="P333" s="40"/>
      <c r="Q333" s="26"/>
      <c r="R333" s="26"/>
      <c r="S333" s="26"/>
      <c r="T333" s="26"/>
    </row>
    <row r="334" spans="1:20" s="43" customFormat="1" ht="101.25" x14ac:dyDescent="0.25">
      <c r="A334" s="38" t="s">
        <v>18</v>
      </c>
      <c r="B334" s="23"/>
      <c r="C334" s="41" t="s">
        <v>934</v>
      </c>
      <c r="D334" s="38"/>
      <c r="E334" s="6"/>
      <c r="F334" s="2"/>
      <c r="G334" s="26"/>
      <c r="H334" s="27"/>
      <c r="I334" s="27"/>
      <c r="J334" s="28"/>
      <c r="K334" s="38"/>
      <c r="L334" s="35"/>
      <c r="M334" s="31">
        <v>13645.75</v>
      </c>
      <c r="N334" s="32"/>
      <c r="O334" s="52"/>
      <c r="P334" s="40"/>
      <c r="Q334" s="26"/>
      <c r="R334" s="26"/>
      <c r="S334" s="26"/>
      <c r="T334" s="26"/>
    </row>
    <row r="335" spans="1:20" s="43" customFormat="1" ht="67.5" x14ac:dyDescent="0.25">
      <c r="A335" s="38" t="s">
        <v>489</v>
      </c>
      <c r="B335" s="23"/>
      <c r="C335" s="41" t="s">
        <v>935</v>
      </c>
      <c r="D335" s="38" t="s">
        <v>868</v>
      </c>
      <c r="E335" s="6">
        <v>235000</v>
      </c>
      <c r="F335" s="6">
        <v>235000</v>
      </c>
      <c r="G335" s="26" t="s">
        <v>936</v>
      </c>
      <c r="H335" s="27"/>
      <c r="I335" s="27"/>
      <c r="J335" s="28">
        <v>44025</v>
      </c>
      <c r="K335" s="38" t="s">
        <v>937</v>
      </c>
      <c r="L335" s="35">
        <v>6.2770000000000006E-2</v>
      </c>
      <c r="M335" s="6">
        <v>235000</v>
      </c>
      <c r="N335" s="32">
        <v>44085</v>
      </c>
      <c r="O335" s="84">
        <v>44103</v>
      </c>
      <c r="P335" s="40" t="s">
        <v>871</v>
      </c>
      <c r="Q335" s="26"/>
      <c r="R335" s="26"/>
      <c r="S335" s="26"/>
      <c r="T335" s="26"/>
    </row>
    <row r="336" spans="1:20" s="43" customFormat="1" ht="90" x14ac:dyDescent="0.25">
      <c r="A336" s="38" t="s">
        <v>29</v>
      </c>
      <c r="B336" s="23"/>
      <c r="C336" s="41" t="s">
        <v>938</v>
      </c>
      <c r="D336" s="38" t="s">
        <v>708</v>
      </c>
      <c r="E336" s="6">
        <v>132969.9</v>
      </c>
      <c r="F336" s="2">
        <f>119659.38+4121.52</f>
        <v>123780.90000000001</v>
      </c>
      <c r="G336" s="27" t="s">
        <v>19</v>
      </c>
      <c r="H336" s="27" t="s">
        <v>19</v>
      </c>
      <c r="I336" s="29" t="s">
        <v>939</v>
      </c>
      <c r="J336" s="28">
        <v>44035</v>
      </c>
      <c r="K336" s="38" t="s">
        <v>940</v>
      </c>
      <c r="L336" s="39">
        <v>0.1832</v>
      </c>
      <c r="M336" s="31">
        <v>101859.3</v>
      </c>
      <c r="N336" s="32">
        <v>44050</v>
      </c>
      <c r="O336" s="26">
        <v>44074</v>
      </c>
      <c r="P336" s="40">
        <v>45</v>
      </c>
      <c r="Q336" s="26">
        <v>44109</v>
      </c>
      <c r="R336" s="26"/>
      <c r="S336" s="26">
        <v>44238</v>
      </c>
      <c r="T336" s="26">
        <v>44280</v>
      </c>
    </row>
    <row r="337" spans="1:20" s="43" customFormat="1" ht="180" x14ac:dyDescent="0.25">
      <c r="A337" s="38" t="s">
        <v>21</v>
      </c>
      <c r="B337" s="23"/>
      <c r="C337" s="41" t="s">
        <v>941</v>
      </c>
      <c r="D337" s="38" t="s">
        <v>942</v>
      </c>
      <c r="E337" s="6">
        <v>190000</v>
      </c>
      <c r="F337" s="2">
        <f>142406.34+6016.64</f>
        <v>148422.98000000001</v>
      </c>
      <c r="G337" s="27" t="s">
        <v>19</v>
      </c>
      <c r="H337" s="27" t="s">
        <v>19</v>
      </c>
      <c r="I337" s="29" t="s">
        <v>943</v>
      </c>
      <c r="J337" s="28">
        <v>44036</v>
      </c>
      <c r="K337" s="64" t="s">
        <v>907</v>
      </c>
      <c r="L337" s="39">
        <v>0.126</v>
      </c>
      <c r="M337" s="61">
        <v>130479.78</v>
      </c>
      <c r="N337" s="32">
        <v>44054</v>
      </c>
      <c r="O337" s="26" t="s">
        <v>1692</v>
      </c>
      <c r="P337" s="40">
        <v>180</v>
      </c>
      <c r="Q337" s="26">
        <v>44167</v>
      </c>
      <c r="R337" s="26" t="s">
        <v>944</v>
      </c>
      <c r="S337" s="26">
        <v>44833</v>
      </c>
      <c r="T337" s="26">
        <v>44916</v>
      </c>
    </row>
    <row r="338" spans="1:20" s="43" customFormat="1" ht="67.5" x14ac:dyDescent="0.25">
      <c r="A338" s="38" t="s">
        <v>489</v>
      </c>
      <c r="B338" s="23"/>
      <c r="C338" s="41" t="s">
        <v>945</v>
      </c>
      <c r="D338" s="38" t="s">
        <v>868</v>
      </c>
      <c r="E338" s="6">
        <v>140000</v>
      </c>
      <c r="F338" s="6">
        <v>140000</v>
      </c>
      <c r="G338" s="27" t="s">
        <v>19</v>
      </c>
      <c r="H338" s="27" t="s">
        <v>19</v>
      </c>
      <c r="I338" s="29" t="s">
        <v>946</v>
      </c>
      <c r="J338" s="28" t="s">
        <v>947</v>
      </c>
      <c r="K338" s="28" t="s">
        <v>948</v>
      </c>
      <c r="L338" s="39">
        <v>0.33229999999999998</v>
      </c>
      <c r="M338" s="6">
        <v>140000</v>
      </c>
      <c r="N338" s="32">
        <v>44116</v>
      </c>
      <c r="O338" s="84">
        <v>44119</v>
      </c>
      <c r="P338" s="40" t="s">
        <v>949</v>
      </c>
      <c r="Q338" s="26"/>
      <c r="R338" s="26"/>
      <c r="S338" s="26"/>
      <c r="T338" s="26"/>
    </row>
    <row r="339" spans="1:20" s="43" customFormat="1" ht="112.5" x14ac:dyDescent="0.25">
      <c r="A339" s="38" t="s">
        <v>21</v>
      </c>
      <c r="B339" s="23"/>
      <c r="C339" s="41" t="s">
        <v>950</v>
      </c>
      <c r="D339" s="38" t="s">
        <v>708</v>
      </c>
      <c r="E339" s="6">
        <v>3060000</v>
      </c>
      <c r="F339" s="2">
        <f>2409272+91399.24</f>
        <v>2500671.2400000002</v>
      </c>
      <c r="G339" s="26" t="s">
        <v>951</v>
      </c>
      <c r="H339" s="27"/>
      <c r="I339" s="27"/>
      <c r="J339" s="28" t="s">
        <v>952</v>
      </c>
      <c r="K339" s="64" t="s">
        <v>953</v>
      </c>
      <c r="L339" s="39">
        <v>4.3900000000000002E-2</v>
      </c>
      <c r="M339" s="61">
        <v>2394904.2000000002</v>
      </c>
      <c r="N339" s="32">
        <v>44168</v>
      </c>
      <c r="O339" s="26" t="s">
        <v>1693</v>
      </c>
      <c r="P339" s="40">
        <v>570</v>
      </c>
      <c r="Q339" s="26" t="s">
        <v>954</v>
      </c>
      <c r="R339" s="26">
        <v>44265</v>
      </c>
      <c r="S339" s="26"/>
      <c r="T339" s="26"/>
    </row>
    <row r="340" spans="1:20" s="43" customFormat="1" ht="22.5" x14ac:dyDescent="0.25">
      <c r="A340" s="38" t="s">
        <v>21</v>
      </c>
      <c r="B340" s="23"/>
      <c r="C340" s="41" t="s">
        <v>955</v>
      </c>
      <c r="D340" s="38" t="s">
        <v>708</v>
      </c>
      <c r="E340" s="6"/>
      <c r="F340" s="2"/>
      <c r="G340" s="26"/>
      <c r="H340" s="27"/>
      <c r="I340" s="27"/>
      <c r="J340" s="28"/>
      <c r="K340" s="64"/>
      <c r="L340" s="39"/>
      <c r="M340" s="61">
        <v>308241.28000000003</v>
      </c>
      <c r="N340" s="32"/>
      <c r="O340" s="26"/>
      <c r="P340" s="40"/>
      <c r="Q340" s="26"/>
      <c r="R340" s="26"/>
      <c r="S340" s="26"/>
      <c r="T340" s="26"/>
    </row>
    <row r="341" spans="1:20" s="43" customFormat="1" ht="33.75" x14ac:dyDescent="0.25">
      <c r="A341" s="38" t="s">
        <v>21</v>
      </c>
      <c r="B341" s="23"/>
      <c r="C341" s="41" t="s">
        <v>956</v>
      </c>
      <c r="D341" s="38"/>
      <c r="E341" s="6"/>
      <c r="F341" s="2"/>
      <c r="G341" s="26"/>
      <c r="H341" s="27"/>
      <c r="I341" s="27"/>
      <c r="J341" s="28"/>
      <c r="K341" s="64"/>
      <c r="L341" s="39"/>
      <c r="M341" s="61">
        <v>15104.45</v>
      </c>
      <c r="N341" s="32"/>
      <c r="O341" s="26"/>
      <c r="P341" s="40"/>
      <c r="Q341" s="26"/>
      <c r="R341" s="26"/>
      <c r="S341" s="26"/>
      <c r="T341" s="26"/>
    </row>
    <row r="342" spans="1:20" s="43" customFormat="1" ht="78.75" x14ac:dyDescent="0.25">
      <c r="A342" s="38" t="s">
        <v>21</v>
      </c>
      <c r="B342" s="23"/>
      <c r="C342" s="121" t="s">
        <v>957</v>
      </c>
      <c r="D342" s="38"/>
      <c r="E342" s="6"/>
      <c r="F342" s="2"/>
      <c r="G342" s="26"/>
      <c r="H342" s="27"/>
      <c r="I342" s="27"/>
      <c r="J342" s="28"/>
      <c r="K342" s="64"/>
      <c r="L342" s="39"/>
      <c r="M342" s="61">
        <v>118596.29</v>
      </c>
      <c r="N342" s="32"/>
      <c r="O342" s="26"/>
      <c r="P342" s="40"/>
      <c r="Q342" s="26"/>
      <c r="R342" s="26"/>
      <c r="S342" s="26"/>
      <c r="T342" s="26"/>
    </row>
    <row r="343" spans="1:20" s="43" customFormat="1" ht="22.5" x14ac:dyDescent="0.25">
      <c r="A343" s="38" t="s">
        <v>21</v>
      </c>
      <c r="B343" s="23"/>
      <c r="C343" s="41" t="s">
        <v>958</v>
      </c>
      <c r="D343" s="38" t="s">
        <v>708</v>
      </c>
      <c r="E343" s="6"/>
      <c r="F343" s="2"/>
      <c r="G343" s="26"/>
      <c r="H343" s="27"/>
      <c r="I343" s="27"/>
      <c r="J343" s="28"/>
      <c r="K343" s="64"/>
      <c r="L343" s="39"/>
      <c r="M343" s="61">
        <v>374409.87</v>
      </c>
      <c r="N343" s="32"/>
      <c r="O343" s="26"/>
      <c r="P343" s="40"/>
      <c r="Q343" s="26"/>
      <c r="R343" s="26"/>
      <c r="S343" s="26"/>
      <c r="T343" s="26"/>
    </row>
    <row r="344" spans="1:20" s="43" customFormat="1" ht="78.75" x14ac:dyDescent="0.25">
      <c r="A344" s="38" t="s">
        <v>21</v>
      </c>
      <c r="B344" s="23"/>
      <c r="C344" s="41" t="s">
        <v>959</v>
      </c>
      <c r="D344" s="38" t="s">
        <v>708</v>
      </c>
      <c r="E344" s="6"/>
      <c r="F344" s="2"/>
      <c r="G344" s="26"/>
      <c r="H344" s="27"/>
      <c r="I344" s="27"/>
      <c r="J344" s="28"/>
      <c r="K344" s="64"/>
      <c r="L344" s="39"/>
      <c r="M344" s="61">
        <v>201401.22</v>
      </c>
      <c r="N344" s="32"/>
      <c r="O344" s="26"/>
      <c r="P344" s="40"/>
      <c r="Q344" s="26"/>
      <c r="R344" s="26"/>
      <c r="S344" s="26"/>
      <c r="T344" s="26"/>
    </row>
    <row r="345" spans="1:20" s="43" customFormat="1" ht="78.75" x14ac:dyDescent="0.25">
      <c r="A345" s="38" t="s">
        <v>21</v>
      </c>
      <c r="B345" s="23"/>
      <c r="C345" s="41" t="s">
        <v>960</v>
      </c>
      <c r="D345" s="38" t="s">
        <v>708</v>
      </c>
      <c r="E345" s="6"/>
      <c r="F345" s="2"/>
      <c r="G345" s="26"/>
      <c r="H345" s="27"/>
      <c r="I345" s="27"/>
      <c r="J345" s="28"/>
      <c r="K345" s="64"/>
      <c r="L345" s="39"/>
      <c r="M345" s="61">
        <v>62133.04</v>
      </c>
      <c r="N345" s="32"/>
      <c r="O345" s="26"/>
      <c r="P345" s="40"/>
      <c r="Q345" s="26"/>
      <c r="R345" s="26"/>
      <c r="S345" s="26"/>
      <c r="T345" s="26"/>
    </row>
    <row r="346" spans="1:20" s="43" customFormat="1" ht="112.5" x14ac:dyDescent="0.25">
      <c r="A346" s="41" t="s">
        <v>29</v>
      </c>
      <c r="B346" s="23"/>
      <c r="C346" s="41" t="s">
        <v>961</v>
      </c>
      <c r="D346" s="38" t="s">
        <v>962</v>
      </c>
      <c r="E346" s="6">
        <v>3400000</v>
      </c>
      <c r="F346" s="2">
        <f>2454804.42+357593.43</f>
        <v>2812397.85</v>
      </c>
      <c r="G346" s="26" t="s">
        <v>963</v>
      </c>
      <c r="H346" s="27"/>
      <c r="I346" s="29"/>
      <c r="J346" s="28" t="s">
        <v>964</v>
      </c>
      <c r="K346" s="38" t="s">
        <v>754</v>
      </c>
      <c r="L346" s="39">
        <v>0.17169999999999999</v>
      </c>
      <c r="M346" s="61">
        <v>2390907.9300000002</v>
      </c>
      <c r="N346" s="32">
        <v>44175</v>
      </c>
      <c r="O346" s="26" t="s">
        <v>1694</v>
      </c>
      <c r="P346" s="40">
        <v>730</v>
      </c>
      <c r="Q346" s="26" t="s">
        <v>965</v>
      </c>
      <c r="R346" s="26">
        <v>44180</v>
      </c>
      <c r="S346" s="26"/>
      <c r="T346" s="26"/>
    </row>
    <row r="347" spans="1:20" s="43" customFormat="1" ht="33.75" x14ac:dyDescent="0.25">
      <c r="A347" s="41"/>
      <c r="B347" s="23"/>
      <c r="C347" s="41" t="s">
        <v>966</v>
      </c>
      <c r="D347" s="38" t="s">
        <v>962</v>
      </c>
      <c r="E347" s="6"/>
      <c r="F347" s="2"/>
      <c r="G347" s="26"/>
      <c r="H347" s="27"/>
      <c r="I347" s="29"/>
      <c r="J347" s="28"/>
      <c r="K347" s="38"/>
      <c r="L347" s="39"/>
      <c r="M347" s="61">
        <v>192843.44</v>
      </c>
      <c r="N347" s="32"/>
      <c r="O347" s="26"/>
      <c r="P347" s="40"/>
      <c r="Q347" s="26"/>
      <c r="R347" s="26"/>
      <c r="S347" s="26"/>
      <c r="T347" s="26"/>
    </row>
    <row r="348" spans="1:20" s="43" customFormat="1" ht="33.75" x14ac:dyDescent="0.25">
      <c r="A348" s="41"/>
      <c r="B348" s="23"/>
      <c r="C348" s="41" t="s">
        <v>967</v>
      </c>
      <c r="D348" s="38" t="s">
        <v>962</v>
      </c>
      <c r="E348" s="6"/>
      <c r="F348" s="2"/>
      <c r="G348" s="26"/>
      <c r="H348" s="27"/>
      <c r="I348" s="29"/>
      <c r="J348" s="28"/>
      <c r="K348" s="38"/>
      <c r="L348" s="39"/>
      <c r="M348" s="61">
        <v>27453.94</v>
      </c>
      <c r="N348" s="32"/>
      <c r="O348" s="26"/>
      <c r="P348" s="40"/>
      <c r="Q348" s="26"/>
      <c r="R348" s="26"/>
      <c r="S348" s="26"/>
      <c r="T348" s="26"/>
    </row>
    <row r="349" spans="1:20" s="43" customFormat="1" ht="45" x14ac:dyDescent="0.25">
      <c r="A349" s="38" t="s">
        <v>489</v>
      </c>
      <c r="B349" s="23"/>
      <c r="C349" s="41" t="s">
        <v>968</v>
      </c>
      <c r="D349" s="38" t="s">
        <v>708</v>
      </c>
      <c r="E349" s="6">
        <v>100000</v>
      </c>
      <c r="F349" s="2">
        <v>100000</v>
      </c>
      <c r="G349" s="26" t="s">
        <v>969</v>
      </c>
      <c r="H349" s="27"/>
      <c r="I349" s="29"/>
      <c r="J349" s="28"/>
      <c r="K349" s="64" t="s">
        <v>884</v>
      </c>
      <c r="L349" s="39">
        <v>1.8100000000000002E-2</v>
      </c>
      <c r="M349" s="31">
        <v>100000</v>
      </c>
      <c r="N349" s="32">
        <v>44152</v>
      </c>
      <c r="O349" s="26">
        <v>44158</v>
      </c>
      <c r="P349" s="79" t="s">
        <v>970</v>
      </c>
      <c r="Q349" s="26">
        <v>44158</v>
      </c>
      <c r="R349" s="26"/>
      <c r="S349" s="26">
        <v>44703</v>
      </c>
      <c r="T349" s="26">
        <v>44703</v>
      </c>
    </row>
    <row r="350" spans="1:20" s="43" customFormat="1" ht="90" x14ac:dyDescent="0.25">
      <c r="A350" s="38" t="s">
        <v>489</v>
      </c>
      <c r="B350" s="23"/>
      <c r="C350" s="41" t="s">
        <v>971</v>
      </c>
      <c r="D350" s="38" t="s">
        <v>708</v>
      </c>
      <c r="E350" s="2">
        <f>570000+30000</f>
        <v>600000</v>
      </c>
      <c r="F350" s="2">
        <f>570000+30000</f>
        <v>600000</v>
      </c>
      <c r="G350" s="26" t="s">
        <v>972</v>
      </c>
      <c r="H350" s="27" t="s">
        <v>19</v>
      </c>
      <c r="I350" s="27" t="s">
        <v>19</v>
      </c>
      <c r="J350" s="28" t="s">
        <v>973</v>
      </c>
      <c r="K350" s="20" t="s">
        <v>974</v>
      </c>
      <c r="L350" s="35">
        <v>0.27022000000000002</v>
      </c>
      <c r="M350" s="31">
        <v>600000</v>
      </c>
      <c r="N350" s="32">
        <v>44200</v>
      </c>
      <c r="O350" s="28" t="s">
        <v>975</v>
      </c>
      <c r="P350" s="79" t="s">
        <v>976</v>
      </c>
      <c r="Q350" s="26">
        <v>44369</v>
      </c>
      <c r="R350" s="26" t="s">
        <v>977</v>
      </c>
      <c r="S350" s="26"/>
      <c r="T350" s="26"/>
    </row>
    <row r="351" spans="1:20" s="43" customFormat="1" ht="123.75" x14ac:dyDescent="0.25">
      <c r="A351" s="38" t="s">
        <v>489</v>
      </c>
      <c r="B351" s="23"/>
      <c r="C351" s="121" t="s">
        <v>978</v>
      </c>
      <c r="D351" s="38"/>
      <c r="E351" s="2"/>
      <c r="F351" s="2"/>
      <c r="G351" s="26"/>
      <c r="H351" s="27"/>
      <c r="I351" s="27"/>
      <c r="J351" s="28"/>
      <c r="K351" s="20"/>
      <c r="L351" s="35"/>
      <c r="M351" s="31"/>
      <c r="N351" s="32"/>
      <c r="O351" s="28"/>
      <c r="P351" s="79"/>
      <c r="Q351" s="26"/>
      <c r="R351" s="26"/>
      <c r="S351" s="26"/>
      <c r="T351" s="26"/>
    </row>
    <row r="352" spans="1:20" s="43" customFormat="1" ht="112.5" x14ac:dyDescent="0.25">
      <c r="A352" s="41" t="s">
        <v>29</v>
      </c>
      <c r="B352" s="23"/>
      <c r="C352" s="41" t="s">
        <v>979</v>
      </c>
      <c r="D352" s="38" t="s">
        <v>629</v>
      </c>
      <c r="E352" s="2">
        <v>180000</v>
      </c>
      <c r="F352" s="2">
        <f>140000+4000</f>
        <v>144000</v>
      </c>
      <c r="G352" s="27" t="s">
        <v>19</v>
      </c>
      <c r="H352" s="27" t="s">
        <v>19</v>
      </c>
      <c r="I352" s="29" t="s">
        <v>980</v>
      </c>
      <c r="J352" s="28">
        <v>44168</v>
      </c>
      <c r="K352" s="20" t="s">
        <v>592</v>
      </c>
      <c r="L352" s="39">
        <v>0.22420000000000001</v>
      </c>
      <c r="M352" s="31">
        <v>112612</v>
      </c>
      <c r="N352" s="32">
        <v>44186</v>
      </c>
      <c r="O352" s="26" t="s">
        <v>981</v>
      </c>
      <c r="P352" s="79">
        <v>120</v>
      </c>
      <c r="Q352" s="26">
        <v>44277</v>
      </c>
      <c r="R352" s="26"/>
      <c r="S352" s="26">
        <v>44600</v>
      </c>
      <c r="T352" s="26">
        <v>44617</v>
      </c>
    </row>
    <row r="353" spans="1:20" s="43" customFormat="1" ht="22.5" x14ac:dyDescent="0.25">
      <c r="A353" s="41" t="s">
        <v>29</v>
      </c>
      <c r="B353" s="23"/>
      <c r="C353" s="41" t="s">
        <v>982</v>
      </c>
      <c r="D353" s="38"/>
      <c r="E353" s="2"/>
      <c r="F353" s="2"/>
      <c r="G353" s="27"/>
      <c r="H353" s="27"/>
      <c r="I353" s="29"/>
      <c r="J353" s="28"/>
      <c r="K353" s="20"/>
      <c r="L353" s="39"/>
      <c r="M353" s="31">
        <v>16200</v>
      </c>
      <c r="N353" s="32"/>
      <c r="O353" s="26"/>
      <c r="P353" s="79"/>
      <c r="Q353" s="26"/>
      <c r="R353" s="26"/>
      <c r="S353" s="26"/>
      <c r="T353" s="26"/>
    </row>
    <row r="354" spans="1:20" s="43" customFormat="1" ht="90" x14ac:dyDescent="0.25">
      <c r="A354" s="41" t="s">
        <v>21</v>
      </c>
      <c r="B354" s="23"/>
      <c r="C354" s="41" t="s">
        <v>983</v>
      </c>
      <c r="D354" s="38" t="s">
        <v>708</v>
      </c>
      <c r="E354" s="6">
        <f>195000+5000</f>
        <v>200000</v>
      </c>
      <c r="F354" s="6">
        <f>195000+5000</f>
        <v>200000</v>
      </c>
      <c r="G354" s="26" t="s">
        <v>984</v>
      </c>
      <c r="H354" s="27"/>
      <c r="I354" s="27"/>
      <c r="J354" s="28">
        <v>44210</v>
      </c>
      <c r="K354" s="28" t="s">
        <v>985</v>
      </c>
      <c r="L354" s="35">
        <v>5.0000000000000001E-3</v>
      </c>
      <c r="M354" s="61">
        <v>199025</v>
      </c>
      <c r="N354" s="32">
        <v>44245</v>
      </c>
      <c r="O354" s="28" t="s">
        <v>1496</v>
      </c>
      <c r="P354" s="40">
        <v>150</v>
      </c>
      <c r="Q354" s="26">
        <v>44279</v>
      </c>
      <c r="R354" s="26">
        <v>44355</v>
      </c>
      <c r="S354" s="26">
        <v>44460</v>
      </c>
      <c r="T354" s="82"/>
    </row>
    <row r="355" spans="1:20" s="43" customFormat="1" ht="22.5" x14ac:dyDescent="0.25">
      <c r="A355" s="41" t="s">
        <v>21</v>
      </c>
      <c r="B355" s="23"/>
      <c r="C355" s="41" t="s">
        <v>986</v>
      </c>
      <c r="D355" s="38"/>
      <c r="E355" s="6"/>
      <c r="F355" s="6"/>
      <c r="G355" s="26"/>
      <c r="H355" s="27"/>
      <c r="I355" s="27"/>
      <c r="J355" s="28"/>
      <c r="K355" s="28"/>
      <c r="L355" s="35"/>
      <c r="M355" s="61">
        <v>4840</v>
      </c>
      <c r="N355" s="32"/>
      <c r="O355" s="28"/>
      <c r="P355" s="40"/>
      <c r="Q355" s="26"/>
      <c r="R355" s="26"/>
      <c r="S355" s="26"/>
      <c r="T355" s="82"/>
    </row>
    <row r="356" spans="1:20" s="43" customFormat="1" ht="90" x14ac:dyDescent="0.25">
      <c r="A356" s="41" t="s">
        <v>21</v>
      </c>
      <c r="B356" s="23"/>
      <c r="C356" s="41" t="s">
        <v>987</v>
      </c>
      <c r="D356" s="38" t="s">
        <v>708</v>
      </c>
      <c r="E356" s="6">
        <f>530000+20000</f>
        <v>550000</v>
      </c>
      <c r="F356" s="6">
        <f>530000+20000</f>
        <v>550000</v>
      </c>
      <c r="G356" s="26" t="s">
        <v>988</v>
      </c>
      <c r="H356" s="27"/>
      <c r="I356" s="27"/>
      <c r="J356" s="28">
        <v>44228</v>
      </c>
      <c r="K356" s="28" t="s">
        <v>989</v>
      </c>
      <c r="L356" s="35">
        <v>0.08</v>
      </c>
      <c r="M356" s="61">
        <v>507600</v>
      </c>
      <c r="N356" s="32">
        <v>44273</v>
      </c>
      <c r="O356" s="28" t="s">
        <v>990</v>
      </c>
      <c r="P356" s="40">
        <v>150</v>
      </c>
      <c r="Q356" s="26"/>
      <c r="R356" s="26"/>
      <c r="S356" s="26">
        <v>44435</v>
      </c>
      <c r="T356" s="24"/>
    </row>
    <row r="357" spans="1:20" s="43" customFormat="1" ht="123.75" x14ac:dyDescent="0.25">
      <c r="A357" s="41" t="s">
        <v>18</v>
      </c>
      <c r="B357" s="23"/>
      <c r="C357" s="41" t="s">
        <v>991</v>
      </c>
      <c r="D357" s="38" t="s">
        <v>629</v>
      </c>
      <c r="E357" s="6">
        <v>270000</v>
      </c>
      <c r="F357" s="6">
        <f>240000+5000</f>
        <v>245000</v>
      </c>
      <c r="G357" s="27" t="s">
        <v>19</v>
      </c>
      <c r="H357" s="27" t="s">
        <v>19</v>
      </c>
      <c r="I357" s="29" t="s">
        <v>992</v>
      </c>
      <c r="J357" s="28" t="s">
        <v>993</v>
      </c>
      <c r="K357" s="28" t="s">
        <v>994</v>
      </c>
      <c r="L357" s="35">
        <v>0.17981</v>
      </c>
      <c r="M357" s="61">
        <v>201845.6</v>
      </c>
      <c r="N357" s="32">
        <v>44246</v>
      </c>
      <c r="O357" s="28" t="s">
        <v>1695</v>
      </c>
      <c r="P357" s="40">
        <v>120</v>
      </c>
      <c r="Q357" s="26">
        <v>44315</v>
      </c>
      <c r="R357" s="26" t="s">
        <v>995</v>
      </c>
      <c r="S357" s="26">
        <v>44684</v>
      </c>
      <c r="T357" s="26">
        <v>44742</v>
      </c>
    </row>
    <row r="358" spans="1:20" s="43" customFormat="1" ht="33.75" x14ac:dyDescent="0.25">
      <c r="A358" s="41" t="s">
        <v>18</v>
      </c>
      <c r="B358" s="23"/>
      <c r="C358" s="41" t="s">
        <v>996</v>
      </c>
      <c r="D358" s="38"/>
      <c r="E358" s="6"/>
      <c r="F358" s="6"/>
      <c r="G358" s="27"/>
      <c r="H358" s="27"/>
      <c r="I358" s="29"/>
      <c r="J358" s="28"/>
      <c r="K358" s="28"/>
      <c r="L358" s="35"/>
      <c r="M358" s="61">
        <v>5900.24</v>
      </c>
      <c r="N358" s="32"/>
      <c r="O358" s="28"/>
      <c r="P358" s="40"/>
      <c r="Q358" s="26"/>
      <c r="R358" s="26"/>
      <c r="S358" s="26"/>
      <c r="T358" s="82"/>
    </row>
    <row r="359" spans="1:20" s="43" customFormat="1" ht="67.5" x14ac:dyDescent="0.25">
      <c r="A359" s="41" t="s">
        <v>18</v>
      </c>
      <c r="B359" s="23"/>
      <c r="C359" s="41" t="s">
        <v>1696</v>
      </c>
      <c r="D359" s="38"/>
      <c r="E359" s="6"/>
      <c r="F359" s="6"/>
      <c r="G359" s="27"/>
      <c r="H359" s="27"/>
      <c r="I359" s="29"/>
      <c r="J359" s="28"/>
      <c r="K359" s="28"/>
      <c r="L359" s="35"/>
      <c r="M359" s="61">
        <v>14312.48</v>
      </c>
      <c r="N359" s="32"/>
      <c r="O359" s="28"/>
      <c r="P359" s="40"/>
      <c r="Q359" s="26"/>
      <c r="R359" s="26"/>
      <c r="S359" s="26"/>
      <c r="T359" s="82"/>
    </row>
    <row r="360" spans="1:20" s="43" customFormat="1" ht="135" x14ac:dyDescent="0.25">
      <c r="A360" s="41" t="s">
        <v>29</v>
      </c>
      <c r="B360" s="23"/>
      <c r="C360" s="41" t="s">
        <v>997</v>
      </c>
      <c r="D360" s="38" t="s">
        <v>629</v>
      </c>
      <c r="E360" s="6">
        <v>208795.75</v>
      </c>
      <c r="F360" s="6">
        <f>163204.91+5172</f>
        <v>168376.91</v>
      </c>
      <c r="G360" s="27" t="s">
        <v>19</v>
      </c>
      <c r="H360" s="27" t="s">
        <v>19</v>
      </c>
      <c r="I360" s="29" t="s">
        <v>998</v>
      </c>
      <c r="J360" s="28">
        <v>44271</v>
      </c>
      <c r="K360" s="28" t="s">
        <v>999</v>
      </c>
      <c r="L360" s="35">
        <v>7.2999999999999995E-2</v>
      </c>
      <c r="M360" s="61">
        <v>156462.95000000001</v>
      </c>
      <c r="N360" s="32">
        <v>44286</v>
      </c>
      <c r="O360" s="28" t="s">
        <v>1000</v>
      </c>
      <c r="P360" s="40">
        <v>220</v>
      </c>
      <c r="Q360" s="26" t="s">
        <v>1001</v>
      </c>
      <c r="R360" s="26" t="s">
        <v>1002</v>
      </c>
      <c r="S360" s="26">
        <v>44746</v>
      </c>
      <c r="T360" s="26">
        <v>44799</v>
      </c>
    </row>
    <row r="361" spans="1:20" s="43" customFormat="1" ht="101.25" x14ac:dyDescent="0.25">
      <c r="A361" s="41" t="s">
        <v>29</v>
      </c>
      <c r="B361" s="23"/>
      <c r="C361" s="41" t="s">
        <v>1003</v>
      </c>
      <c r="D361" s="38" t="s">
        <v>1004</v>
      </c>
      <c r="E361" s="6">
        <v>233500</v>
      </c>
      <c r="F361" s="6">
        <f>196439.87+6258.35</f>
        <v>202698.22</v>
      </c>
      <c r="G361" s="26" t="s">
        <v>1005</v>
      </c>
      <c r="H361" s="27" t="s">
        <v>19</v>
      </c>
      <c r="I361" s="27" t="s">
        <v>19</v>
      </c>
      <c r="J361" s="28">
        <v>44330</v>
      </c>
      <c r="K361" s="28" t="s">
        <v>1006</v>
      </c>
      <c r="L361" s="35">
        <v>0.2472</v>
      </c>
      <c r="M361" s="61">
        <v>154138.28</v>
      </c>
      <c r="N361" s="32">
        <v>44351</v>
      </c>
      <c r="O361" s="28" t="s">
        <v>1697</v>
      </c>
      <c r="P361" s="40">
        <v>90</v>
      </c>
      <c r="Q361" s="26">
        <v>44613</v>
      </c>
      <c r="R361" s="26">
        <v>44613</v>
      </c>
      <c r="S361" s="26" t="s">
        <v>1007</v>
      </c>
      <c r="T361" s="26">
        <v>45223</v>
      </c>
    </row>
    <row r="362" spans="1:20" s="43" customFormat="1" ht="45" x14ac:dyDescent="0.25">
      <c r="A362" s="41" t="s">
        <v>29</v>
      </c>
      <c r="B362" s="23"/>
      <c r="C362" s="41" t="s">
        <v>1008</v>
      </c>
      <c r="D362" s="38" t="s">
        <v>1004</v>
      </c>
      <c r="E362" s="6"/>
      <c r="F362" s="6"/>
      <c r="G362" s="26"/>
      <c r="H362" s="27"/>
      <c r="I362" s="27"/>
      <c r="J362" s="28"/>
      <c r="K362" s="28"/>
      <c r="L362" s="35"/>
      <c r="M362" s="61">
        <v>4113.75</v>
      </c>
      <c r="N362" s="32"/>
      <c r="O362" s="28"/>
      <c r="P362" s="40"/>
      <c r="Q362" s="26"/>
      <c r="R362" s="26"/>
      <c r="S362" s="26"/>
      <c r="T362" s="82"/>
    </row>
    <row r="363" spans="1:20" s="43" customFormat="1" ht="45" x14ac:dyDescent="0.25">
      <c r="A363" s="41" t="s">
        <v>29</v>
      </c>
      <c r="B363" s="23"/>
      <c r="C363" s="41" t="s">
        <v>1009</v>
      </c>
      <c r="D363" s="38" t="s">
        <v>1004</v>
      </c>
      <c r="E363" s="6"/>
      <c r="F363" s="6"/>
      <c r="G363" s="26"/>
      <c r="H363" s="27"/>
      <c r="I363" s="27"/>
      <c r="J363" s="28"/>
      <c r="K363" s="28"/>
      <c r="L363" s="35"/>
      <c r="M363" s="61">
        <v>5692.63</v>
      </c>
      <c r="N363" s="32"/>
      <c r="O363" s="28"/>
      <c r="P363" s="40"/>
      <c r="Q363" s="26"/>
      <c r="R363" s="26"/>
      <c r="S363" s="26"/>
      <c r="T363" s="82"/>
    </row>
    <row r="364" spans="1:20" s="43" customFormat="1" ht="45" x14ac:dyDescent="0.25">
      <c r="A364" s="41" t="s">
        <v>29</v>
      </c>
      <c r="B364" s="23"/>
      <c r="C364" s="41" t="s">
        <v>1010</v>
      </c>
      <c r="D364" s="38" t="s">
        <v>1004</v>
      </c>
      <c r="E364" s="6"/>
      <c r="F364" s="6"/>
      <c r="G364" s="26"/>
      <c r="H364" s="27"/>
      <c r="I364" s="27"/>
      <c r="J364" s="28"/>
      <c r="K364" s="28"/>
      <c r="L364" s="35"/>
      <c r="M364" s="61">
        <v>757.15</v>
      </c>
      <c r="N364" s="32"/>
      <c r="O364" s="28"/>
      <c r="P364" s="40"/>
      <c r="Q364" s="26"/>
      <c r="R364" s="26"/>
      <c r="S364" s="26"/>
      <c r="T364" s="82"/>
    </row>
    <row r="365" spans="1:20" s="43" customFormat="1" ht="101.25" x14ac:dyDescent="0.25">
      <c r="A365" s="41" t="s">
        <v>29</v>
      </c>
      <c r="B365" s="23"/>
      <c r="C365" s="41" t="s">
        <v>1011</v>
      </c>
      <c r="D365" s="38" t="s">
        <v>708</v>
      </c>
      <c r="E365" s="6">
        <v>107892.58</v>
      </c>
      <c r="F365" s="2">
        <f>74318.32+12844.09</f>
        <v>87162.41</v>
      </c>
      <c r="G365" s="27" t="s">
        <v>19</v>
      </c>
      <c r="H365" s="27" t="s">
        <v>19</v>
      </c>
      <c r="I365" s="29" t="s">
        <v>1012</v>
      </c>
      <c r="J365" s="28">
        <v>44322</v>
      </c>
      <c r="K365" s="28" t="s">
        <v>1013</v>
      </c>
      <c r="L365" s="35">
        <v>0.1235</v>
      </c>
      <c r="M365" s="61">
        <v>77984.100000000006</v>
      </c>
      <c r="N365" s="32">
        <v>44342</v>
      </c>
      <c r="O365" s="28" t="s">
        <v>1014</v>
      </c>
      <c r="P365" s="40">
        <v>40</v>
      </c>
      <c r="Q365" s="26">
        <v>44518</v>
      </c>
      <c r="R365" s="26"/>
      <c r="S365" s="26">
        <v>44602</v>
      </c>
      <c r="T365" s="26">
        <v>44718</v>
      </c>
    </row>
    <row r="366" spans="1:20" s="43" customFormat="1" ht="78.75" x14ac:dyDescent="0.25">
      <c r="A366" s="41" t="s">
        <v>29</v>
      </c>
      <c r="B366" s="23"/>
      <c r="C366" s="86" t="s">
        <v>1015</v>
      </c>
      <c r="D366" s="38" t="s">
        <v>888</v>
      </c>
      <c r="E366" s="6">
        <v>244000</v>
      </c>
      <c r="F366" s="2">
        <f>176926.17+5930.97</f>
        <v>182857.14</v>
      </c>
      <c r="G366" s="27" t="s">
        <v>19</v>
      </c>
      <c r="H366" s="27" t="s">
        <v>19</v>
      </c>
      <c r="I366" s="29" t="s">
        <v>1016</v>
      </c>
      <c r="J366" s="28">
        <v>44333</v>
      </c>
      <c r="K366" s="64" t="s">
        <v>884</v>
      </c>
      <c r="L366" s="35">
        <v>3.8399999999999997E-2</v>
      </c>
      <c r="M366" s="61">
        <v>176063.18</v>
      </c>
      <c r="N366" s="32">
        <v>44344</v>
      </c>
      <c r="O366" s="28" t="s">
        <v>1017</v>
      </c>
      <c r="P366" s="40">
        <v>224</v>
      </c>
      <c r="Q366" s="26">
        <v>44477</v>
      </c>
      <c r="R366" s="26" t="s">
        <v>1018</v>
      </c>
      <c r="S366" s="26">
        <v>44892</v>
      </c>
      <c r="T366" s="26">
        <v>44892</v>
      </c>
    </row>
    <row r="367" spans="1:20" s="43" customFormat="1" ht="45.75" thickBot="1" x14ac:dyDescent="0.3">
      <c r="A367" s="41" t="s">
        <v>29</v>
      </c>
      <c r="B367" s="73"/>
      <c r="C367" s="41" t="s">
        <v>1019</v>
      </c>
      <c r="D367" s="38" t="s">
        <v>888</v>
      </c>
      <c r="E367" s="6"/>
      <c r="F367" s="2"/>
      <c r="G367" s="27"/>
      <c r="H367" s="27"/>
      <c r="I367" s="29"/>
      <c r="J367" s="28"/>
      <c r="K367" s="64"/>
      <c r="L367" s="35"/>
      <c r="M367" s="61">
        <v>6411.56</v>
      </c>
      <c r="N367" s="32"/>
      <c r="O367" s="28"/>
      <c r="P367" s="40"/>
      <c r="Q367" s="26"/>
      <c r="R367" s="26"/>
      <c r="S367" s="26"/>
      <c r="T367" s="82"/>
    </row>
    <row r="368" spans="1:20" s="43" customFormat="1" ht="78.75" x14ac:dyDescent="0.25">
      <c r="A368" s="41" t="s">
        <v>21</v>
      </c>
      <c r="B368" s="73"/>
      <c r="C368" s="74" t="s">
        <v>1020</v>
      </c>
      <c r="D368" s="87" t="s">
        <v>1021</v>
      </c>
      <c r="E368" s="6">
        <f>400000+8000</f>
        <v>408000</v>
      </c>
      <c r="F368" s="6">
        <f>400000+8000</f>
        <v>408000</v>
      </c>
      <c r="G368" s="26" t="s">
        <v>1022</v>
      </c>
      <c r="H368" s="27"/>
      <c r="I368" s="27"/>
      <c r="J368" s="28" t="s">
        <v>1023</v>
      </c>
      <c r="K368" s="64" t="s">
        <v>1024</v>
      </c>
      <c r="L368" s="35">
        <v>0.20680000000000001</v>
      </c>
      <c r="M368" s="61">
        <v>325280</v>
      </c>
      <c r="N368" s="32">
        <v>44496</v>
      </c>
      <c r="O368" s="28" t="s">
        <v>1025</v>
      </c>
      <c r="P368" s="40">
        <v>365</v>
      </c>
      <c r="Q368" s="32">
        <v>44579</v>
      </c>
      <c r="R368" s="26" t="s">
        <v>1026</v>
      </c>
      <c r="S368" s="26"/>
      <c r="T368" s="26"/>
    </row>
    <row r="369" spans="1:20" s="43" customFormat="1" ht="79.5" thickBot="1" x14ac:dyDescent="0.3">
      <c r="A369" s="41" t="s">
        <v>1027</v>
      </c>
      <c r="B369" s="73"/>
      <c r="C369" s="80" t="s">
        <v>1028</v>
      </c>
      <c r="D369" s="87" t="s">
        <v>1021</v>
      </c>
      <c r="E369" s="6">
        <f>800000+16000</f>
        <v>816000</v>
      </c>
      <c r="F369" s="6">
        <f>800000+16000</f>
        <v>816000</v>
      </c>
      <c r="G369" s="26" t="s">
        <v>1022</v>
      </c>
      <c r="H369" s="27"/>
      <c r="I369" s="27"/>
      <c r="J369" s="28" t="s">
        <v>1023</v>
      </c>
      <c r="K369" s="64" t="s">
        <v>1029</v>
      </c>
      <c r="L369" s="35">
        <v>0.27250000000000002</v>
      </c>
      <c r="M369" s="61">
        <v>598000</v>
      </c>
      <c r="N369" s="32">
        <v>44496</v>
      </c>
      <c r="O369" s="28" t="s">
        <v>1030</v>
      </c>
      <c r="P369" s="40">
        <v>365</v>
      </c>
      <c r="Q369" s="32">
        <v>44544</v>
      </c>
      <c r="R369" s="26"/>
      <c r="S369" s="26"/>
      <c r="T369" s="26"/>
    </row>
    <row r="370" spans="1:20" s="43" customFormat="1" ht="113.25" thickBot="1" x14ac:dyDescent="0.3">
      <c r="A370" s="41" t="s">
        <v>29</v>
      </c>
      <c r="B370" s="23"/>
      <c r="C370" s="88" t="s">
        <v>1031</v>
      </c>
      <c r="D370" s="38" t="s">
        <v>833</v>
      </c>
      <c r="E370" s="6">
        <v>235000</v>
      </c>
      <c r="F370" s="2">
        <f>185147.34+5286.6</f>
        <v>190433.94</v>
      </c>
      <c r="G370" s="27" t="s">
        <v>19</v>
      </c>
      <c r="H370" s="27" t="s">
        <v>19</v>
      </c>
      <c r="I370" s="29" t="s">
        <v>1032</v>
      </c>
      <c r="J370" s="28" t="s">
        <v>1033</v>
      </c>
      <c r="K370" s="20" t="s">
        <v>525</v>
      </c>
      <c r="L370" s="35">
        <v>3.73E-2</v>
      </c>
      <c r="M370" s="61">
        <v>183527.94</v>
      </c>
      <c r="N370" s="32">
        <v>44385</v>
      </c>
      <c r="O370" s="28" t="s">
        <v>1034</v>
      </c>
      <c r="P370" s="40">
        <v>220</v>
      </c>
      <c r="Q370" s="26"/>
      <c r="R370" s="26"/>
      <c r="S370" s="82"/>
      <c r="T370" s="24"/>
    </row>
    <row r="371" spans="1:20" s="43" customFormat="1" ht="135" x14ac:dyDescent="0.25">
      <c r="A371" s="41" t="s">
        <v>29</v>
      </c>
      <c r="B371" s="73"/>
      <c r="C371" s="74" t="s">
        <v>1035</v>
      </c>
      <c r="D371" s="72" t="s">
        <v>708</v>
      </c>
      <c r="E371" s="6">
        <v>346190</v>
      </c>
      <c r="F371" s="2">
        <f>231320.84+48812.9</f>
        <v>280133.74</v>
      </c>
      <c r="G371" s="26" t="s">
        <v>1036</v>
      </c>
      <c r="H371" s="27" t="s">
        <v>19</v>
      </c>
      <c r="I371" s="27" t="s">
        <v>19</v>
      </c>
      <c r="J371" s="28" t="s">
        <v>1037</v>
      </c>
      <c r="K371" s="28" t="s">
        <v>1038</v>
      </c>
      <c r="L371" s="35">
        <v>0.24979999999999999</v>
      </c>
      <c r="M371" s="61">
        <v>222349.79</v>
      </c>
      <c r="N371" s="32">
        <v>44413</v>
      </c>
      <c r="O371" s="28" t="s">
        <v>1698</v>
      </c>
      <c r="P371" s="40">
        <v>180</v>
      </c>
      <c r="Q371" s="26">
        <v>44643</v>
      </c>
      <c r="R371" s="26" t="s">
        <v>1039</v>
      </c>
      <c r="S371" s="26">
        <v>45040</v>
      </c>
      <c r="T371" s="24" t="s">
        <v>1495</v>
      </c>
    </row>
    <row r="372" spans="1:20" s="43" customFormat="1" ht="56.25" x14ac:dyDescent="0.25">
      <c r="A372" s="41" t="s">
        <v>29</v>
      </c>
      <c r="B372" s="89"/>
      <c r="C372" s="121" t="s">
        <v>1040</v>
      </c>
      <c r="D372" s="90"/>
      <c r="E372" s="12"/>
      <c r="F372" s="13"/>
      <c r="G372" s="50"/>
      <c r="H372" s="91"/>
      <c r="I372" s="91"/>
      <c r="J372" s="92"/>
      <c r="K372" s="92"/>
      <c r="L372" s="93"/>
      <c r="M372" s="119">
        <v>3788.51</v>
      </c>
      <c r="N372" s="48"/>
      <c r="O372" s="92"/>
      <c r="P372" s="49"/>
      <c r="Q372" s="50"/>
      <c r="R372" s="50"/>
      <c r="S372" s="151"/>
      <c r="T372" s="50"/>
    </row>
    <row r="373" spans="1:20" s="43" customFormat="1" ht="56.25" x14ac:dyDescent="0.25">
      <c r="A373" s="41" t="s">
        <v>29</v>
      </c>
      <c r="B373" s="23"/>
      <c r="C373" s="76" t="s">
        <v>1041</v>
      </c>
      <c r="D373" s="38"/>
      <c r="E373" s="6"/>
      <c r="F373" s="2"/>
      <c r="G373" s="26"/>
      <c r="H373" s="27"/>
      <c r="I373" s="27"/>
      <c r="J373" s="28"/>
      <c r="K373" s="28"/>
      <c r="L373" s="35"/>
      <c r="M373" s="61">
        <v>26978.59</v>
      </c>
      <c r="N373" s="32"/>
      <c r="O373" s="28"/>
      <c r="P373" s="40"/>
      <c r="Q373" s="26"/>
      <c r="R373" s="26"/>
      <c r="S373" s="82"/>
      <c r="T373" s="26"/>
    </row>
    <row r="374" spans="1:20" s="43" customFormat="1" ht="45" x14ac:dyDescent="0.25">
      <c r="A374" s="41" t="s">
        <v>29</v>
      </c>
      <c r="B374" s="94"/>
      <c r="C374" s="76" t="s">
        <v>1042</v>
      </c>
      <c r="D374" s="95"/>
      <c r="E374" s="14"/>
      <c r="F374" s="15"/>
      <c r="G374" s="96"/>
      <c r="H374" s="97"/>
      <c r="I374" s="97"/>
      <c r="J374" s="98"/>
      <c r="K374" s="98"/>
      <c r="L374" s="99"/>
      <c r="M374" s="103">
        <v>19860.63</v>
      </c>
      <c r="N374" s="100"/>
      <c r="O374" s="98"/>
      <c r="P374" s="101"/>
      <c r="Q374" s="96"/>
      <c r="R374" s="96"/>
      <c r="S374" s="152"/>
      <c r="T374" s="96"/>
    </row>
    <row r="375" spans="1:20" s="43" customFormat="1" ht="45" x14ac:dyDescent="0.25">
      <c r="A375" s="41" t="s">
        <v>29</v>
      </c>
      <c r="B375" s="94"/>
      <c r="C375" s="76" t="s">
        <v>1043</v>
      </c>
      <c r="D375" s="95"/>
      <c r="E375" s="14"/>
      <c r="F375" s="15"/>
      <c r="G375" s="96"/>
      <c r="H375" s="97"/>
      <c r="I375" s="97"/>
      <c r="J375" s="98"/>
      <c r="K375" s="98"/>
      <c r="L375" s="99"/>
      <c r="M375" s="103">
        <v>6551.62</v>
      </c>
      <c r="N375" s="100"/>
      <c r="O375" s="98"/>
      <c r="P375" s="101"/>
      <c r="Q375" s="96"/>
      <c r="R375" s="96"/>
      <c r="S375" s="152"/>
      <c r="T375" s="96"/>
    </row>
    <row r="376" spans="1:20" s="43" customFormat="1" ht="112.5" x14ac:dyDescent="0.25">
      <c r="A376" s="41" t="s">
        <v>29</v>
      </c>
      <c r="B376" s="94"/>
      <c r="C376" s="41" t="s">
        <v>1044</v>
      </c>
      <c r="D376" s="95" t="s">
        <v>629</v>
      </c>
      <c r="E376" s="14">
        <v>280000</v>
      </c>
      <c r="F376" s="15">
        <f>230000+6500</f>
        <v>236500</v>
      </c>
      <c r="G376" s="97" t="s">
        <v>19</v>
      </c>
      <c r="H376" s="97" t="s">
        <v>19</v>
      </c>
      <c r="I376" s="102" t="s">
        <v>1045</v>
      </c>
      <c r="J376" s="98" t="s">
        <v>1046</v>
      </c>
      <c r="K376" s="98" t="s">
        <v>994</v>
      </c>
      <c r="L376" s="99">
        <v>0.10758</v>
      </c>
      <c r="M376" s="103">
        <v>211756.6</v>
      </c>
      <c r="N376" s="100">
        <v>44407</v>
      </c>
      <c r="O376" s="98" t="s">
        <v>1699</v>
      </c>
      <c r="P376" s="101">
        <v>120</v>
      </c>
      <c r="Q376" s="96" t="s">
        <v>1047</v>
      </c>
      <c r="R376" s="96" t="s">
        <v>1048</v>
      </c>
      <c r="S376" s="26">
        <v>45575</v>
      </c>
      <c r="T376" s="26">
        <v>45607</v>
      </c>
    </row>
    <row r="377" spans="1:20" s="43" customFormat="1" ht="34.5" thickBot="1" x14ac:dyDescent="0.3">
      <c r="A377" s="41" t="s">
        <v>29</v>
      </c>
      <c r="B377" s="104"/>
      <c r="C377" s="105" t="s">
        <v>1049</v>
      </c>
      <c r="D377" s="95" t="s">
        <v>629</v>
      </c>
      <c r="E377" s="14"/>
      <c r="F377" s="15"/>
      <c r="G377" s="97"/>
      <c r="H377" s="97"/>
      <c r="I377" s="102"/>
      <c r="J377" s="98"/>
      <c r="K377" s="98"/>
      <c r="L377" s="99"/>
      <c r="M377" s="103">
        <v>32218.58</v>
      </c>
      <c r="N377" s="100"/>
      <c r="O377" s="98"/>
      <c r="P377" s="101"/>
      <c r="Q377" s="96"/>
      <c r="R377" s="96"/>
      <c r="S377" s="152"/>
      <c r="T377" s="152"/>
    </row>
    <row r="378" spans="1:20" s="43" customFormat="1" ht="23.25" thickBot="1" x14ac:dyDescent="0.3">
      <c r="A378" s="41" t="s">
        <v>29</v>
      </c>
      <c r="B378" s="104"/>
      <c r="C378" s="105" t="s">
        <v>1050</v>
      </c>
      <c r="D378" s="95" t="s">
        <v>629</v>
      </c>
      <c r="E378" s="14"/>
      <c r="F378" s="15"/>
      <c r="G378" s="97"/>
      <c r="H378" s="97"/>
      <c r="I378" s="102"/>
      <c r="J378" s="98"/>
      <c r="K378" s="98"/>
      <c r="L378" s="99"/>
      <c r="M378" s="103">
        <v>38415.06</v>
      </c>
      <c r="N378" s="100"/>
      <c r="O378" s="98"/>
      <c r="P378" s="101"/>
      <c r="Q378" s="96"/>
      <c r="R378" s="96"/>
      <c r="S378" s="152"/>
      <c r="T378" s="152"/>
    </row>
    <row r="379" spans="1:20" s="43" customFormat="1" ht="56.25" x14ac:dyDescent="0.25">
      <c r="A379" s="41" t="s">
        <v>29</v>
      </c>
      <c r="B379" s="73"/>
      <c r="C379" s="106" t="s">
        <v>1051</v>
      </c>
      <c r="D379" s="87" t="s">
        <v>1052</v>
      </c>
      <c r="E379" s="6">
        <f>500000+25000</f>
        <v>525000</v>
      </c>
      <c r="F379" s="6">
        <f>500000+25000</f>
        <v>525000</v>
      </c>
      <c r="G379" s="26" t="s">
        <v>1053</v>
      </c>
      <c r="H379" s="27"/>
      <c r="I379" s="27"/>
      <c r="J379" s="28" t="s">
        <v>1054</v>
      </c>
      <c r="K379" s="28" t="s">
        <v>1055</v>
      </c>
      <c r="L379" s="35"/>
      <c r="M379" s="63"/>
      <c r="N379" s="32"/>
      <c r="O379" s="26"/>
      <c r="P379" s="40">
        <v>365</v>
      </c>
      <c r="Q379" s="26"/>
      <c r="R379" s="26"/>
      <c r="S379" s="26"/>
      <c r="T379" s="26"/>
    </row>
    <row r="380" spans="1:20" s="43" customFormat="1" ht="67.5" x14ac:dyDescent="0.25">
      <c r="A380" s="41" t="s">
        <v>21</v>
      </c>
      <c r="B380" s="73"/>
      <c r="C380" s="107" t="s">
        <v>1056</v>
      </c>
      <c r="D380" s="87" t="s">
        <v>1052</v>
      </c>
      <c r="E380" s="6">
        <f>600000+30000</f>
        <v>630000</v>
      </c>
      <c r="F380" s="6">
        <f>600000+30000</f>
        <v>630000</v>
      </c>
      <c r="G380" s="26" t="s">
        <v>1053</v>
      </c>
      <c r="H380" s="27"/>
      <c r="I380" s="27"/>
      <c r="J380" s="28" t="s">
        <v>1054</v>
      </c>
      <c r="K380" s="64" t="s">
        <v>1057</v>
      </c>
      <c r="L380" s="35">
        <v>0.19531000000000001</v>
      </c>
      <c r="M380" s="61">
        <v>512814</v>
      </c>
      <c r="N380" s="32">
        <v>44502</v>
      </c>
      <c r="O380" s="65" t="s">
        <v>1700</v>
      </c>
      <c r="P380" s="40">
        <v>365</v>
      </c>
      <c r="Q380" s="26">
        <v>44781</v>
      </c>
      <c r="R380" s="26">
        <v>44781</v>
      </c>
      <c r="S380" s="26">
        <v>45230</v>
      </c>
      <c r="T380" s="26">
        <v>45257</v>
      </c>
    </row>
    <row r="381" spans="1:20" s="43" customFormat="1" ht="45" x14ac:dyDescent="0.25">
      <c r="A381" s="41" t="s">
        <v>21</v>
      </c>
      <c r="B381" s="73"/>
      <c r="C381" s="153" t="s">
        <v>1058</v>
      </c>
      <c r="D381" s="87" t="s">
        <v>1052</v>
      </c>
      <c r="E381" s="6"/>
      <c r="F381" s="6"/>
      <c r="G381" s="26"/>
      <c r="H381" s="27"/>
      <c r="I381" s="27"/>
      <c r="J381" s="28"/>
      <c r="K381" s="64"/>
      <c r="L381" s="35"/>
      <c r="M381" s="61">
        <v>21478.639999999999</v>
      </c>
      <c r="N381" s="32"/>
      <c r="O381" s="65"/>
      <c r="P381" s="40"/>
      <c r="Q381" s="26"/>
      <c r="R381" s="26"/>
      <c r="S381" s="26"/>
      <c r="T381" s="26"/>
    </row>
    <row r="382" spans="1:20" s="43" customFormat="1" ht="67.5" x14ac:dyDescent="0.25">
      <c r="A382" s="41" t="s">
        <v>21</v>
      </c>
      <c r="B382" s="73"/>
      <c r="C382" s="153" t="s">
        <v>1059</v>
      </c>
      <c r="D382" s="87" t="s">
        <v>1052</v>
      </c>
      <c r="E382" s="6"/>
      <c r="F382" s="6"/>
      <c r="G382" s="26"/>
      <c r="H382" s="27"/>
      <c r="I382" s="27"/>
      <c r="J382" s="28"/>
      <c r="K382" s="64"/>
      <c r="L382" s="35"/>
      <c r="M382" s="61">
        <v>12786.85</v>
      </c>
      <c r="N382" s="32"/>
      <c r="O382" s="65"/>
      <c r="P382" s="40"/>
      <c r="Q382" s="26"/>
      <c r="R382" s="26"/>
      <c r="S382" s="26"/>
      <c r="T382" s="26"/>
    </row>
    <row r="383" spans="1:20" s="43" customFormat="1" ht="33.75" x14ac:dyDescent="0.25">
      <c r="A383" s="41" t="s">
        <v>21</v>
      </c>
      <c r="B383" s="73"/>
      <c r="C383" s="153" t="s">
        <v>1060</v>
      </c>
      <c r="D383" s="87" t="s">
        <v>1052</v>
      </c>
      <c r="E383" s="6"/>
      <c r="F383" s="6"/>
      <c r="G383" s="26"/>
      <c r="H383" s="27"/>
      <c r="I383" s="27"/>
      <c r="J383" s="28"/>
      <c r="K383" s="64"/>
      <c r="L383" s="35"/>
      <c r="M383" s="61">
        <v>102517.51</v>
      </c>
      <c r="N383" s="32"/>
      <c r="O383" s="65"/>
      <c r="P383" s="40"/>
      <c r="Q383" s="26"/>
      <c r="R383" s="26"/>
      <c r="S383" s="26"/>
      <c r="T383" s="26"/>
    </row>
    <row r="384" spans="1:20" s="43" customFormat="1" ht="33.75" x14ac:dyDescent="0.25">
      <c r="A384" s="41" t="s">
        <v>21</v>
      </c>
      <c r="B384" s="73"/>
      <c r="C384" s="153" t="s">
        <v>1061</v>
      </c>
      <c r="D384" s="87" t="s">
        <v>1052</v>
      </c>
      <c r="E384" s="6"/>
      <c r="F384" s="6"/>
      <c r="G384" s="26"/>
      <c r="H384" s="27"/>
      <c r="I384" s="27"/>
      <c r="J384" s="28"/>
      <c r="K384" s="64"/>
      <c r="L384" s="35"/>
      <c r="M384" s="61">
        <v>18752</v>
      </c>
      <c r="N384" s="32"/>
      <c r="O384" s="65"/>
      <c r="P384" s="40"/>
      <c r="Q384" s="26"/>
      <c r="R384" s="26"/>
      <c r="S384" s="26"/>
      <c r="T384" s="26"/>
    </row>
    <row r="385" spans="1:20" s="43" customFormat="1" ht="33.75" x14ac:dyDescent="0.25">
      <c r="A385" s="41" t="s">
        <v>21</v>
      </c>
      <c r="B385" s="73"/>
      <c r="C385" s="153" t="s">
        <v>1062</v>
      </c>
      <c r="D385" s="87" t="s">
        <v>1052</v>
      </c>
      <c r="E385" s="6"/>
      <c r="F385" s="6"/>
      <c r="G385" s="26"/>
      <c r="H385" s="27"/>
      <c r="I385" s="27"/>
      <c r="J385" s="28"/>
      <c r="K385" s="64"/>
      <c r="L385" s="35"/>
      <c r="M385" s="61">
        <v>19004</v>
      </c>
      <c r="N385" s="32"/>
      <c r="O385" s="65"/>
      <c r="P385" s="40"/>
      <c r="Q385" s="26"/>
      <c r="R385" s="26"/>
      <c r="S385" s="26"/>
      <c r="T385" s="26"/>
    </row>
    <row r="386" spans="1:20" s="43" customFormat="1" ht="22.5" x14ac:dyDescent="0.25">
      <c r="A386" s="41" t="s">
        <v>21</v>
      </c>
      <c r="B386" s="73"/>
      <c r="C386" s="153" t="s">
        <v>1063</v>
      </c>
      <c r="D386" s="87" t="s">
        <v>1052</v>
      </c>
      <c r="E386" s="6"/>
      <c r="F386" s="6"/>
      <c r="G386" s="26"/>
      <c r="H386" s="27"/>
      <c r="I386" s="27"/>
      <c r="J386" s="28"/>
      <c r="K386" s="64"/>
      <c r="L386" s="35"/>
      <c r="M386" s="61">
        <v>130000</v>
      </c>
      <c r="N386" s="32"/>
      <c r="O386" s="65"/>
      <c r="P386" s="40"/>
      <c r="Q386" s="26"/>
      <c r="R386" s="26"/>
      <c r="S386" s="26"/>
      <c r="T386" s="26"/>
    </row>
    <row r="387" spans="1:20" s="43" customFormat="1" ht="45" x14ac:dyDescent="0.25">
      <c r="A387" s="41" t="s">
        <v>21</v>
      </c>
      <c r="B387" s="73"/>
      <c r="C387" s="153" t="s">
        <v>1064</v>
      </c>
      <c r="D387" s="87" t="s">
        <v>1052</v>
      </c>
      <c r="E387" s="6"/>
      <c r="F387" s="6"/>
      <c r="G387" s="26"/>
      <c r="H387" s="27"/>
      <c r="I387" s="27"/>
      <c r="J387" s="28"/>
      <c r="K387" s="64"/>
      <c r="L387" s="35"/>
      <c r="M387" s="61">
        <v>5170</v>
      </c>
      <c r="N387" s="32"/>
      <c r="O387" s="65"/>
      <c r="P387" s="40"/>
      <c r="Q387" s="26"/>
      <c r="R387" s="26"/>
      <c r="S387" s="26"/>
      <c r="T387" s="26"/>
    </row>
    <row r="388" spans="1:20" s="43" customFormat="1" ht="45.75" thickBot="1" x14ac:dyDescent="0.3">
      <c r="A388" s="41" t="s">
        <v>21</v>
      </c>
      <c r="B388" s="73"/>
      <c r="C388" s="153" t="s">
        <v>1701</v>
      </c>
      <c r="D388" s="87" t="s">
        <v>1052</v>
      </c>
      <c r="E388" s="6"/>
      <c r="F388" s="6"/>
      <c r="G388" s="26"/>
      <c r="H388" s="27"/>
      <c r="I388" s="27"/>
      <c r="J388" s="28"/>
      <c r="K388" s="64"/>
      <c r="L388" s="35"/>
      <c r="M388" s="61">
        <v>6661.23</v>
      </c>
      <c r="N388" s="32"/>
      <c r="O388" s="65"/>
      <c r="P388" s="40"/>
      <c r="Q388" s="26"/>
      <c r="R388" s="26"/>
      <c r="S388" s="26"/>
      <c r="T388" s="26"/>
    </row>
    <row r="389" spans="1:20" s="43" customFormat="1" ht="67.5" x14ac:dyDescent="0.25">
      <c r="A389" s="41" t="s">
        <v>29</v>
      </c>
      <c r="B389" s="73"/>
      <c r="C389" s="108" t="s">
        <v>1066</v>
      </c>
      <c r="D389" s="87" t="s">
        <v>1052</v>
      </c>
      <c r="E389" s="6">
        <f>285000+15000</f>
        <v>300000</v>
      </c>
      <c r="F389" s="6">
        <f>285000+15000</f>
        <v>300000</v>
      </c>
      <c r="G389" s="26" t="s">
        <v>1067</v>
      </c>
      <c r="H389" s="27"/>
      <c r="I389" s="27"/>
      <c r="J389" s="28" t="s">
        <v>1068</v>
      </c>
      <c r="K389" s="28" t="s">
        <v>1069</v>
      </c>
      <c r="L389" s="35">
        <v>0.2</v>
      </c>
      <c r="M389" s="61">
        <v>243000</v>
      </c>
      <c r="N389" s="32">
        <v>44603</v>
      </c>
      <c r="O389" s="65" t="s">
        <v>1702</v>
      </c>
      <c r="P389" s="40">
        <v>365</v>
      </c>
      <c r="Q389" s="26">
        <v>44841</v>
      </c>
      <c r="R389" s="26">
        <v>44901</v>
      </c>
      <c r="S389" s="26">
        <v>45253</v>
      </c>
      <c r="T389" s="26">
        <v>45279</v>
      </c>
    </row>
    <row r="390" spans="1:20" s="43" customFormat="1" ht="67.5" x14ac:dyDescent="0.25">
      <c r="A390" s="41" t="s">
        <v>18</v>
      </c>
      <c r="B390" s="73"/>
      <c r="C390" s="109" t="s">
        <v>1070</v>
      </c>
      <c r="D390" s="87" t="s">
        <v>1052</v>
      </c>
      <c r="E390" s="6">
        <f t="shared" ref="E390:F390" si="0">285000+15000</f>
        <v>300000</v>
      </c>
      <c r="F390" s="6">
        <f t="shared" si="0"/>
        <v>300000</v>
      </c>
      <c r="G390" s="26" t="s">
        <v>1067</v>
      </c>
      <c r="H390" s="27"/>
      <c r="I390" s="27"/>
      <c r="J390" s="28" t="s">
        <v>1068</v>
      </c>
      <c r="K390" s="28" t="s">
        <v>1069</v>
      </c>
      <c r="L390" s="35">
        <v>0.2</v>
      </c>
      <c r="M390" s="61">
        <v>243000</v>
      </c>
      <c r="N390" s="32">
        <v>44603</v>
      </c>
      <c r="O390" s="65" t="s">
        <v>1702</v>
      </c>
      <c r="P390" s="40">
        <v>365</v>
      </c>
      <c r="Q390" s="26">
        <v>44841</v>
      </c>
      <c r="R390" s="26">
        <v>44901</v>
      </c>
      <c r="S390" s="26">
        <v>45253</v>
      </c>
      <c r="T390" s="26">
        <v>45279</v>
      </c>
    </row>
    <row r="391" spans="1:20" s="43" customFormat="1" ht="123.75" x14ac:dyDescent="0.25">
      <c r="A391" s="41" t="s">
        <v>18</v>
      </c>
      <c r="B391" s="73"/>
      <c r="C391" s="110" t="s">
        <v>1071</v>
      </c>
      <c r="D391" s="72">
        <v>240</v>
      </c>
      <c r="E391" s="6">
        <v>443625</v>
      </c>
      <c r="F391" s="6">
        <f>385514.89+8177.93</f>
        <v>393692.82</v>
      </c>
      <c r="G391" s="27" t="s">
        <v>19</v>
      </c>
      <c r="H391" s="27" t="s">
        <v>19</v>
      </c>
      <c r="I391" s="29" t="s">
        <v>1072</v>
      </c>
      <c r="J391" s="28" t="s">
        <v>1073</v>
      </c>
      <c r="K391" s="28" t="s">
        <v>1074</v>
      </c>
      <c r="L391" s="35">
        <v>0.1535</v>
      </c>
      <c r="M391" s="61">
        <v>334516.28000000003</v>
      </c>
      <c r="N391" s="32">
        <v>44412</v>
      </c>
      <c r="O391" s="28" t="s">
        <v>1075</v>
      </c>
      <c r="P391" s="40">
        <v>90</v>
      </c>
      <c r="Q391" s="26">
        <v>44496</v>
      </c>
      <c r="R391" s="26" t="s">
        <v>1076</v>
      </c>
      <c r="S391" s="26">
        <v>44692</v>
      </c>
      <c r="T391" s="26">
        <v>44739</v>
      </c>
    </row>
    <row r="392" spans="1:20" s="43" customFormat="1" ht="33.75" x14ac:dyDescent="0.25">
      <c r="A392" s="41" t="s">
        <v>18</v>
      </c>
      <c r="B392" s="23"/>
      <c r="C392" s="41" t="s">
        <v>1494</v>
      </c>
      <c r="D392" s="72">
        <v>240</v>
      </c>
      <c r="E392" s="6"/>
      <c r="F392" s="6"/>
      <c r="G392" s="27"/>
      <c r="H392" s="27"/>
      <c r="I392" s="29"/>
      <c r="J392" s="28"/>
      <c r="K392" s="28"/>
      <c r="L392" s="35"/>
      <c r="M392" s="61">
        <v>84550.52</v>
      </c>
      <c r="N392" s="32"/>
      <c r="O392" s="28"/>
      <c r="P392" s="40"/>
      <c r="Q392" s="26"/>
      <c r="R392" s="26"/>
      <c r="S392" s="26"/>
      <c r="T392" s="82"/>
    </row>
    <row r="393" spans="1:20" s="43" customFormat="1" ht="45" x14ac:dyDescent="0.25">
      <c r="A393" s="41" t="s">
        <v>18</v>
      </c>
      <c r="B393" s="23"/>
      <c r="C393" s="41" t="s">
        <v>1077</v>
      </c>
      <c r="D393" s="72">
        <v>240</v>
      </c>
      <c r="E393" s="6"/>
      <c r="F393" s="6"/>
      <c r="G393" s="27"/>
      <c r="H393" s="27"/>
      <c r="I393" s="29"/>
      <c r="J393" s="28"/>
      <c r="K393" s="28"/>
      <c r="L393" s="35"/>
      <c r="M393" s="61">
        <v>32732.37</v>
      </c>
      <c r="N393" s="32"/>
      <c r="O393" s="28"/>
      <c r="P393" s="40"/>
      <c r="Q393" s="26"/>
      <c r="R393" s="26"/>
      <c r="S393" s="26"/>
      <c r="T393" s="82"/>
    </row>
    <row r="394" spans="1:20" s="43" customFormat="1" ht="168.75" x14ac:dyDescent="0.25">
      <c r="A394" s="41" t="s">
        <v>21</v>
      </c>
      <c r="B394" s="94"/>
      <c r="C394" s="78" t="s">
        <v>1078</v>
      </c>
      <c r="D394" s="95" t="s">
        <v>1079</v>
      </c>
      <c r="E394" s="15">
        <v>750000</v>
      </c>
      <c r="F394" s="15">
        <f>649200.33+20297.79</f>
        <v>669498.12</v>
      </c>
      <c r="G394" s="96" t="s">
        <v>1080</v>
      </c>
      <c r="H394" s="97" t="s">
        <v>19</v>
      </c>
      <c r="I394" s="97" t="s">
        <v>19</v>
      </c>
      <c r="J394" s="98" t="s">
        <v>1073</v>
      </c>
      <c r="K394" s="98" t="s">
        <v>1081</v>
      </c>
      <c r="L394" s="99">
        <v>0.22525000000000001</v>
      </c>
      <c r="M394" s="103">
        <v>523265.75</v>
      </c>
      <c r="N394" s="100">
        <v>44417</v>
      </c>
      <c r="O394" s="98" t="s">
        <v>1703</v>
      </c>
      <c r="P394" s="101">
        <v>280</v>
      </c>
      <c r="Q394" s="96" t="s">
        <v>1082</v>
      </c>
      <c r="R394" s="96">
        <v>44811</v>
      </c>
      <c r="S394" s="111" t="s">
        <v>1493</v>
      </c>
      <c r="T394" s="82" t="s">
        <v>1704</v>
      </c>
    </row>
    <row r="395" spans="1:20" s="43" customFormat="1" ht="33.75" x14ac:dyDescent="0.25">
      <c r="A395" s="41" t="s">
        <v>21</v>
      </c>
      <c r="B395" s="94"/>
      <c r="C395" s="41" t="s">
        <v>1083</v>
      </c>
      <c r="D395" s="95" t="s">
        <v>1079</v>
      </c>
      <c r="E395" s="15"/>
      <c r="F395" s="15"/>
      <c r="G395" s="96"/>
      <c r="H395" s="97"/>
      <c r="I395" s="97"/>
      <c r="J395" s="98"/>
      <c r="K395" s="98"/>
      <c r="L395" s="99"/>
      <c r="M395" s="103">
        <v>46434.83</v>
      </c>
      <c r="N395" s="100"/>
      <c r="O395" s="98"/>
      <c r="P395" s="101"/>
      <c r="Q395" s="96"/>
      <c r="R395" s="96"/>
      <c r="S395" s="112"/>
      <c r="T395" s="82"/>
    </row>
    <row r="396" spans="1:20" s="43" customFormat="1" ht="56.25" x14ac:dyDescent="0.25">
      <c r="A396" s="41" t="s">
        <v>21</v>
      </c>
      <c r="B396" s="94"/>
      <c r="C396" s="41" t="s">
        <v>1084</v>
      </c>
      <c r="D396" s="95" t="s">
        <v>1079</v>
      </c>
      <c r="E396" s="15"/>
      <c r="F396" s="15"/>
      <c r="G396" s="96"/>
      <c r="H396" s="97"/>
      <c r="I396" s="97"/>
      <c r="J396" s="98"/>
      <c r="K396" s="98"/>
      <c r="L396" s="99"/>
      <c r="M396" s="103">
        <v>117740.86</v>
      </c>
      <c r="N396" s="100"/>
      <c r="O396" s="98"/>
      <c r="P396" s="101"/>
      <c r="Q396" s="96"/>
      <c r="R396" s="96"/>
      <c r="S396" s="112"/>
      <c r="T396" s="82"/>
    </row>
    <row r="397" spans="1:20" s="43" customFormat="1" ht="123.75" x14ac:dyDescent="0.25">
      <c r="A397" s="41" t="s">
        <v>29</v>
      </c>
      <c r="B397" s="23"/>
      <c r="C397" s="41" t="s">
        <v>1085</v>
      </c>
      <c r="D397" s="38" t="s">
        <v>629</v>
      </c>
      <c r="E397" s="2">
        <v>1712415.13</v>
      </c>
      <c r="F397" s="2">
        <f>1294596.65+43244.79</f>
        <v>1337841.44</v>
      </c>
      <c r="G397" s="26" t="s">
        <v>1086</v>
      </c>
      <c r="H397" s="27"/>
      <c r="I397" s="27"/>
      <c r="J397" s="28" t="s">
        <v>1087</v>
      </c>
      <c r="K397" s="64" t="s">
        <v>734</v>
      </c>
      <c r="L397" s="39">
        <v>3.6600000000000001E-2</v>
      </c>
      <c r="M397" s="61">
        <v>1290459.2</v>
      </c>
      <c r="N397" s="32">
        <v>44523</v>
      </c>
      <c r="O397" s="65" t="s">
        <v>1705</v>
      </c>
      <c r="P397" s="40">
        <v>350</v>
      </c>
      <c r="Q397" s="26" t="s">
        <v>1088</v>
      </c>
      <c r="R397" s="26">
        <v>44896</v>
      </c>
      <c r="S397" s="24" t="s">
        <v>1492</v>
      </c>
      <c r="T397" s="26"/>
    </row>
    <row r="398" spans="1:20" s="43" customFormat="1" ht="56.25" x14ac:dyDescent="0.25">
      <c r="A398" s="41"/>
      <c r="B398" s="23"/>
      <c r="C398" s="41" t="s">
        <v>1089</v>
      </c>
      <c r="D398" s="38"/>
      <c r="E398" s="2"/>
      <c r="F398" s="2"/>
      <c r="G398" s="26"/>
      <c r="H398" s="27"/>
      <c r="I398" s="27"/>
      <c r="J398" s="28"/>
      <c r="K398" s="64"/>
      <c r="L398" s="39"/>
      <c r="M398" s="61">
        <v>243121.54</v>
      </c>
      <c r="N398" s="32"/>
      <c r="O398" s="65"/>
      <c r="P398" s="40"/>
      <c r="Q398" s="26"/>
      <c r="R398" s="26"/>
      <c r="S398" s="24"/>
      <c r="T398" s="26"/>
    </row>
    <row r="399" spans="1:20" s="43" customFormat="1" ht="67.5" x14ac:dyDescent="0.25">
      <c r="A399" s="41"/>
      <c r="B399" s="23"/>
      <c r="C399" s="41" t="s">
        <v>1491</v>
      </c>
      <c r="D399" s="38"/>
      <c r="E399" s="2"/>
      <c r="F399" s="2"/>
      <c r="G399" s="26"/>
      <c r="H399" s="27"/>
      <c r="I399" s="27"/>
      <c r="J399" s="28"/>
      <c r="K399" s="64"/>
      <c r="L399" s="39"/>
      <c r="M399" s="61">
        <v>74773.399999999994</v>
      </c>
      <c r="N399" s="32"/>
      <c r="O399" s="65"/>
      <c r="P399" s="40"/>
      <c r="Q399" s="26"/>
      <c r="R399" s="26"/>
      <c r="S399" s="24"/>
      <c r="T399" s="26"/>
    </row>
    <row r="400" spans="1:20" s="43" customFormat="1" ht="90" x14ac:dyDescent="0.25">
      <c r="A400" s="41" t="s">
        <v>18</v>
      </c>
      <c r="B400" s="23"/>
      <c r="C400" s="41" t="s">
        <v>1090</v>
      </c>
      <c r="D400" s="38" t="s">
        <v>1091</v>
      </c>
      <c r="E400" s="6">
        <v>244010.66</v>
      </c>
      <c r="F400" s="6">
        <f>189778.21+8327.18</f>
        <v>198105.38999999998</v>
      </c>
      <c r="G400" s="27"/>
      <c r="H400" s="27"/>
      <c r="I400" s="29" t="s">
        <v>1092</v>
      </c>
      <c r="J400" s="28" t="s">
        <v>1093</v>
      </c>
      <c r="K400" s="28" t="s">
        <v>1094</v>
      </c>
      <c r="L400" s="35">
        <v>1.21E-2</v>
      </c>
      <c r="M400" s="61">
        <v>195809.07</v>
      </c>
      <c r="N400" s="32">
        <v>44455</v>
      </c>
      <c r="O400" s="28">
        <v>44516</v>
      </c>
      <c r="P400" s="40">
        <v>224</v>
      </c>
      <c r="Q400" s="26">
        <v>44970</v>
      </c>
      <c r="R400" s="26" t="s">
        <v>1095</v>
      </c>
      <c r="S400" s="26"/>
      <c r="T400" s="26"/>
    </row>
    <row r="401" spans="1:20" s="43" customFormat="1" ht="191.25" x14ac:dyDescent="0.25">
      <c r="A401" s="41" t="s">
        <v>18</v>
      </c>
      <c r="B401" s="23"/>
      <c r="C401" s="41" t="s">
        <v>1096</v>
      </c>
      <c r="D401" s="38" t="s">
        <v>1097</v>
      </c>
      <c r="E401" s="6">
        <v>2795600</v>
      </c>
      <c r="F401" s="6">
        <f>2464900+55100</f>
        <v>2520000</v>
      </c>
      <c r="G401" s="26" t="s">
        <v>1098</v>
      </c>
      <c r="H401" s="27" t="s">
        <v>19</v>
      </c>
      <c r="I401" s="27" t="s">
        <v>19</v>
      </c>
      <c r="J401" s="28" t="s">
        <v>1099</v>
      </c>
      <c r="K401" s="64" t="s">
        <v>734</v>
      </c>
      <c r="L401" s="35">
        <v>2.64E-2</v>
      </c>
      <c r="M401" s="61">
        <v>2454926.64</v>
      </c>
      <c r="N401" s="32">
        <v>44536</v>
      </c>
      <c r="O401" s="28" t="s">
        <v>1706</v>
      </c>
      <c r="P401" s="40">
        <v>420</v>
      </c>
      <c r="Q401" s="26" t="s">
        <v>1490</v>
      </c>
      <c r="R401" s="26">
        <v>44721</v>
      </c>
      <c r="S401" s="113" t="s">
        <v>1489</v>
      </c>
      <c r="T401" s="26">
        <v>45646</v>
      </c>
    </row>
    <row r="402" spans="1:20" s="43" customFormat="1" ht="56.25" x14ac:dyDescent="0.25">
      <c r="A402" s="41" t="s">
        <v>18</v>
      </c>
      <c r="B402" s="23"/>
      <c r="C402" s="41" t="s">
        <v>1100</v>
      </c>
      <c r="D402" s="38" t="s">
        <v>1097</v>
      </c>
      <c r="E402" s="6"/>
      <c r="F402" s="6"/>
      <c r="G402" s="26"/>
      <c r="H402" s="27"/>
      <c r="I402" s="27"/>
      <c r="J402" s="28"/>
      <c r="K402" s="64"/>
      <c r="L402" s="35"/>
      <c r="M402" s="61">
        <v>122245.26</v>
      </c>
      <c r="N402" s="32"/>
      <c r="O402" s="28"/>
      <c r="P402" s="40"/>
      <c r="Q402" s="26"/>
      <c r="R402" s="26"/>
      <c r="S402" s="24"/>
      <c r="T402" s="26"/>
    </row>
    <row r="403" spans="1:20" s="43" customFormat="1" ht="56.25" x14ac:dyDescent="0.25">
      <c r="A403" s="41" t="s">
        <v>18</v>
      </c>
      <c r="B403" s="23"/>
      <c r="C403" s="41" t="s">
        <v>1101</v>
      </c>
      <c r="D403" s="38" t="s">
        <v>1097</v>
      </c>
      <c r="E403" s="6"/>
      <c r="F403" s="6"/>
      <c r="G403" s="26"/>
      <c r="H403" s="27"/>
      <c r="I403" s="27"/>
      <c r="J403" s="28"/>
      <c r="K403" s="64"/>
      <c r="L403" s="35"/>
      <c r="M403" s="61">
        <v>79508.28</v>
      </c>
      <c r="N403" s="32"/>
      <c r="O403" s="28"/>
      <c r="P403" s="40"/>
      <c r="Q403" s="26"/>
      <c r="R403" s="26"/>
      <c r="S403" s="24"/>
      <c r="T403" s="26"/>
    </row>
    <row r="404" spans="1:20" s="43" customFormat="1" ht="56.25" x14ac:dyDescent="0.25">
      <c r="A404" s="41" t="s">
        <v>18</v>
      </c>
      <c r="B404" s="23"/>
      <c r="C404" s="41" t="s">
        <v>1102</v>
      </c>
      <c r="D404" s="38" t="s">
        <v>1097</v>
      </c>
      <c r="E404" s="6"/>
      <c r="F404" s="6"/>
      <c r="G404" s="26"/>
      <c r="H404" s="27"/>
      <c r="I404" s="27"/>
      <c r="J404" s="28"/>
      <c r="K404" s="64"/>
      <c r="L404" s="35"/>
      <c r="M404" s="61">
        <v>140036.25</v>
      </c>
      <c r="N404" s="32"/>
      <c r="O404" s="28"/>
      <c r="P404" s="40"/>
      <c r="Q404" s="26"/>
      <c r="R404" s="26"/>
      <c r="S404" s="24"/>
      <c r="T404" s="26"/>
    </row>
    <row r="405" spans="1:20" s="43" customFormat="1" ht="22.5" x14ac:dyDescent="0.25">
      <c r="A405" s="41"/>
      <c r="B405" s="23"/>
      <c r="C405" s="41" t="s">
        <v>1103</v>
      </c>
      <c r="D405" s="38" t="s">
        <v>1097</v>
      </c>
      <c r="E405" s="6"/>
      <c r="F405" s="6"/>
      <c r="G405" s="26"/>
      <c r="H405" s="27"/>
      <c r="I405" s="27"/>
      <c r="J405" s="28"/>
      <c r="K405" s="64"/>
      <c r="L405" s="35"/>
      <c r="M405" s="61">
        <v>200680</v>
      </c>
      <c r="N405" s="32"/>
      <c r="O405" s="28"/>
      <c r="P405" s="40"/>
      <c r="Q405" s="26"/>
      <c r="R405" s="26"/>
      <c r="S405" s="24"/>
      <c r="T405" s="26"/>
    </row>
    <row r="406" spans="1:20" s="43" customFormat="1" ht="56.25" x14ac:dyDescent="0.25">
      <c r="A406" s="41" t="s">
        <v>18</v>
      </c>
      <c r="B406" s="23"/>
      <c r="C406" s="41" t="s">
        <v>1104</v>
      </c>
      <c r="D406" s="38" t="s">
        <v>1097</v>
      </c>
      <c r="E406" s="6"/>
      <c r="F406" s="6"/>
      <c r="G406" s="26"/>
      <c r="H406" s="27"/>
      <c r="I406" s="27"/>
      <c r="J406" s="28"/>
      <c r="K406" s="64"/>
      <c r="L406" s="35"/>
      <c r="M406" s="61">
        <v>217117.84</v>
      </c>
      <c r="N406" s="32"/>
      <c r="O406" s="28"/>
      <c r="P406" s="40"/>
      <c r="Q406" s="26"/>
      <c r="R406" s="26"/>
      <c r="S406" s="24"/>
      <c r="T406" s="26"/>
    </row>
    <row r="407" spans="1:20" s="43" customFormat="1" ht="78.75" x14ac:dyDescent="0.25">
      <c r="A407" s="41" t="s">
        <v>18</v>
      </c>
      <c r="B407" s="23"/>
      <c r="C407" s="41" t="s">
        <v>1105</v>
      </c>
      <c r="D407" s="38" t="s">
        <v>1091</v>
      </c>
      <c r="E407" s="6">
        <v>1559194.71</v>
      </c>
      <c r="F407" s="2">
        <f>1379174.02+43320.69</f>
        <v>1422494.71</v>
      </c>
      <c r="G407" s="26" t="s">
        <v>1106</v>
      </c>
      <c r="H407" s="27"/>
      <c r="I407" s="27"/>
      <c r="J407" s="28" t="s">
        <v>1107</v>
      </c>
      <c r="K407" s="64" t="s">
        <v>598</v>
      </c>
      <c r="L407" s="35">
        <v>2.64E-2</v>
      </c>
      <c r="M407" s="61">
        <v>1386084.52</v>
      </c>
      <c r="N407" s="32">
        <v>44634</v>
      </c>
      <c r="O407" s="28" t="s">
        <v>1707</v>
      </c>
      <c r="P407" s="40">
        <v>350</v>
      </c>
      <c r="Q407" s="114" t="s">
        <v>1108</v>
      </c>
      <c r="R407" s="26">
        <v>44767</v>
      </c>
      <c r="S407" s="26">
        <v>45436</v>
      </c>
      <c r="T407" s="65">
        <v>45807</v>
      </c>
    </row>
    <row r="408" spans="1:20" s="43" customFormat="1" ht="56.25" x14ac:dyDescent="0.25">
      <c r="A408" s="41" t="s">
        <v>18</v>
      </c>
      <c r="B408" s="23"/>
      <c r="C408" s="41" t="s">
        <v>1109</v>
      </c>
      <c r="D408" s="38"/>
      <c r="E408" s="6"/>
      <c r="F408" s="2"/>
      <c r="G408" s="26"/>
      <c r="H408" s="27"/>
      <c r="I408" s="27"/>
      <c r="J408" s="28"/>
      <c r="K408" s="64"/>
      <c r="L408" s="35"/>
      <c r="M408" s="61">
        <v>398178.14</v>
      </c>
      <c r="N408" s="32"/>
      <c r="O408" s="28"/>
      <c r="P408" s="40"/>
      <c r="Q408" s="114"/>
      <c r="R408" s="26"/>
      <c r="S408" s="26"/>
      <c r="T408" s="24"/>
    </row>
    <row r="409" spans="1:20" s="43" customFormat="1" ht="56.25" x14ac:dyDescent="0.25">
      <c r="A409" s="41"/>
      <c r="B409" s="23"/>
      <c r="C409" s="41" t="s">
        <v>1110</v>
      </c>
      <c r="D409" s="38"/>
      <c r="E409" s="6"/>
      <c r="F409" s="2"/>
      <c r="G409" s="26"/>
      <c r="H409" s="27"/>
      <c r="I409" s="27"/>
      <c r="J409" s="28"/>
      <c r="K409" s="64"/>
      <c r="L409" s="35"/>
      <c r="M409" s="61">
        <v>44695.65</v>
      </c>
      <c r="N409" s="32"/>
      <c r="O409" s="28"/>
      <c r="P409" s="40"/>
      <c r="Q409" s="114"/>
      <c r="R409" s="26"/>
      <c r="S409" s="26"/>
      <c r="T409" s="24"/>
    </row>
    <row r="410" spans="1:20" s="43" customFormat="1" ht="101.25" x14ac:dyDescent="0.25">
      <c r="A410" s="41" t="s">
        <v>18</v>
      </c>
      <c r="B410" s="23"/>
      <c r="C410" s="41" t="s">
        <v>1111</v>
      </c>
      <c r="D410" s="38" t="s">
        <v>708</v>
      </c>
      <c r="E410" s="6">
        <v>1287245.8999999999</v>
      </c>
      <c r="F410" s="6">
        <f>1148584.43+84955.9</f>
        <v>1233540.3299999998</v>
      </c>
      <c r="G410" s="26" t="s">
        <v>1112</v>
      </c>
      <c r="H410" s="27"/>
      <c r="I410" s="27"/>
      <c r="J410" s="28" t="s">
        <v>1113</v>
      </c>
      <c r="K410" s="64" t="s">
        <v>1114</v>
      </c>
      <c r="L410" s="35">
        <v>3.4599999999999999E-2</v>
      </c>
      <c r="M410" s="61">
        <v>1193799.31</v>
      </c>
      <c r="N410" s="32">
        <v>44631</v>
      </c>
      <c r="O410" s="28" t="s">
        <v>1115</v>
      </c>
      <c r="P410" s="40">
        <v>365</v>
      </c>
      <c r="Q410" s="26" t="s">
        <v>1116</v>
      </c>
      <c r="R410" s="26">
        <v>44837</v>
      </c>
      <c r="S410" s="26">
        <v>45260</v>
      </c>
      <c r="T410" s="29">
        <v>45377</v>
      </c>
    </row>
    <row r="411" spans="1:20" s="43" customFormat="1" ht="33.75" x14ac:dyDescent="0.25">
      <c r="A411" s="41"/>
      <c r="B411" s="23"/>
      <c r="C411" s="41" t="s">
        <v>1117</v>
      </c>
      <c r="D411" s="38"/>
      <c r="E411" s="6"/>
      <c r="F411" s="6"/>
      <c r="G411" s="26"/>
      <c r="H411" s="27"/>
      <c r="I411" s="27"/>
      <c r="J411" s="28"/>
      <c r="K411" s="64"/>
      <c r="L411" s="35"/>
      <c r="M411" s="61">
        <v>115249.9</v>
      </c>
      <c r="N411" s="32"/>
      <c r="O411" s="28"/>
      <c r="P411" s="40"/>
      <c r="Q411" s="26"/>
      <c r="R411" s="26"/>
      <c r="S411" s="26"/>
      <c r="T411" s="38"/>
    </row>
    <row r="412" spans="1:20" s="43" customFormat="1" ht="33.75" x14ac:dyDescent="0.25">
      <c r="A412" s="41"/>
      <c r="B412" s="23"/>
      <c r="C412" s="41" t="s">
        <v>1118</v>
      </c>
      <c r="D412" s="38"/>
      <c r="E412" s="6"/>
      <c r="F412" s="6"/>
      <c r="G412" s="26"/>
      <c r="H412" s="27"/>
      <c r="I412" s="27"/>
      <c r="J412" s="28"/>
      <c r="K412" s="64"/>
      <c r="L412" s="35"/>
      <c r="M412" s="61">
        <v>99460.4</v>
      </c>
      <c r="N412" s="32"/>
      <c r="O412" s="28"/>
      <c r="P412" s="40"/>
      <c r="Q412" s="26"/>
      <c r="R412" s="26"/>
      <c r="S412" s="26"/>
      <c r="T412" s="38"/>
    </row>
    <row r="413" spans="1:20" s="43" customFormat="1" ht="11.25" x14ac:dyDescent="0.25">
      <c r="A413" s="41"/>
      <c r="B413" s="23"/>
      <c r="C413" s="41" t="s">
        <v>1119</v>
      </c>
      <c r="D413" s="38"/>
      <c r="E413" s="6"/>
      <c r="F413" s="6"/>
      <c r="G413" s="26"/>
      <c r="H413" s="27"/>
      <c r="I413" s="27"/>
      <c r="J413" s="28"/>
      <c r="K413" s="64"/>
      <c r="L413" s="35"/>
      <c r="M413" s="61">
        <v>-0.06</v>
      </c>
      <c r="N413" s="32"/>
      <c r="O413" s="28"/>
      <c r="P413" s="40"/>
      <c r="Q413" s="26"/>
      <c r="R413" s="26"/>
      <c r="S413" s="26"/>
      <c r="T413" s="38"/>
    </row>
    <row r="414" spans="1:20" s="43" customFormat="1" ht="33.75" x14ac:dyDescent="0.25">
      <c r="A414" s="41"/>
      <c r="B414" s="23"/>
      <c r="C414" s="41" t="s">
        <v>1120</v>
      </c>
      <c r="D414" s="38"/>
      <c r="E414" s="6"/>
      <c r="F414" s="6"/>
      <c r="G414" s="26"/>
      <c r="H414" s="27"/>
      <c r="I414" s="27"/>
      <c r="J414" s="28"/>
      <c r="K414" s="64"/>
      <c r="L414" s="35"/>
      <c r="M414" s="61">
        <v>63320.95</v>
      </c>
      <c r="N414" s="32"/>
      <c r="O414" s="28"/>
      <c r="P414" s="40"/>
      <c r="Q414" s="26"/>
      <c r="R414" s="26"/>
      <c r="S414" s="26"/>
      <c r="T414" s="38"/>
    </row>
    <row r="415" spans="1:20" s="43" customFormat="1" ht="168.75" x14ac:dyDescent="0.25">
      <c r="A415" s="41" t="s">
        <v>29</v>
      </c>
      <c r="B415" s="23"/>
      <c r="C415" s="41" t="s">
        <v>1121</v>
      </c>
      <c r="D415" s="38" t="s">
        <v>1122</v>
      </c>
      <c r="E415" s="6">
        <v>567624.95999999996</v>
      </c>
      <c r="F415" s="10">
        <f>420000+65000</f>
        <v>485000</v>
      </c>
      <c r="G415" s="26" t="s">
        <v>1488</v>
      </c>
      <c r="H415" s="27"/>
      <c r="I415" s="27"/>
      <c r="J415" s="28" t="s">
        <v>1123</v>
      </c>
      <c r="K415" s="64" t="s">
        <v>1124</v>
      </c>
      <c r="L415" s="35">
        <v>6.0999999999999999E-2</v>
      </c>
      <c r="M415" s="9">
        <v>459380</v>
      </c>
      <c r="N415" s="32">
        <v>44734</v>
      </c>
      <c r="O415" s="28" t="s">
        <v>1708</v>
      </c>
      <c r="P415" s="40">
        <v>150</v>
      </c>
      <c r="Q415" s="26">
        <v>44771</v>
      </c>
      <c r="R415" s="26" t="s">
        <v>1125</v>
      </c>
      <c r="S415" s="26">
        <v>45275</v>
      </c>
      <c r="T415" s="29">
        <v>45351</v>
      </c>
    </row>
    <row r="416" spans="1:20" s="43" customFormat="1" ht="33.75" x14ac:dyDescent="0.25">
      <c r="A416" s="41" t="s">
        <v>29</v>
      </c>
      <c r="B416" s="23"/>
      <c r="C416" s="41" t="s">
        <v>1126</v>
      </c>
      <c r="D416" s="38" t="s">
        <v>1122</v>
      </c>
      <c r="E416" s="6"/>
      <c r="F416" s="10"/>
      <c r="G416" s="26"/>
      <c r="H416" s="27"/>
      <c r="I416" s="27"/>
      <c r="J416" s="28"/>
      <c r="K416" s="64"/>
      <c r="L416" s="35"/>
      <c r="M416" s="9">
        <v>-18364.28</v>
      </c>
      <c r="N416" s="32"/>
      <c r="O416" s="28"/>
      <c r="P416" s="40"/>
      <c r="Q416" s="28"/>
      <c r="R416" s="26"/>
      <c r="S416" s="26"/>
      <c r="T416" s="38"/>
    </row>
    <row r="417" spans="1:20" s="43" customFormat="1" ht="33.75" x14ac:dyDescent="0.25">
      <c r="A417" s="41" t="s">
        <v>29</v>
      </c>
      <c r="B417" s="23"/>
      <c r="C417" s="41" t="s">
        <v>1127</v>
      </c>
      <c r="D417" s="38" t="s">
        <v>1122</v>
      </c>
      <c r="E417" s="6"/>
      <c r="F417" s="10"/>
      <c r="G417" s="26"/>
      <c r="H417" s="27"/>
      <c r="I417" s="27"/>
      <c r="J417" s="28"/>
      <c r="K417" s="64"/>
      <c r="L417" s="35"/>
      <c r="M417" s="9">
        <v>-25739.34</v>
      </c>
      <c r="N417" s="32"/>
      <c r="O417" s="28"/>
      <c r="P417" s="40"/>
      <c r="Q417" s="28"/>
      <c r="R417" s="26"/>
      <c r="S417" s="26"/>
      <c r="T417" s="38"/>
    </row>
    <row r="418" spans="1:20" s="43" customFormat="1" ht="45" x14ac:dyDescent="0.25">
      <c r="A418" s="41" t="s">
        <v>29</v>
      </c>
      <c r="B418" s="23"/>
      <c r="C418" s="41" t="s">
        <v>1128</v>
      </c>
      <c r="D418" s="38" t="s">
        <v>1122</v>
      </c>
      <c r="E418" s="6"/>
      <c r="F418" s="10"/>
      <c r="G418" s="26"/>
      <c r="H418" s="27"/>
      <c r="I418" s="27"/>
      <c r="J418" s="28"/>
      <c r="K418" s="64"/>
      <c r="L418" s="35"/>
      <c r="M418" s="9">
        <v>53072.06</v>
      </c>
      <c r="N418" s="32"/>
      <c r="O418" s="28"/>
      <c r="P418" s="40"/>
      <c r="Q418" s="28"/>
      <c r="R418" s="26"/>
      <c r="S418" s="26"/>
      <c r="T418" s="38"/>
    </row>
    <row r="419" spans="1:20" s="43" customFormat="1" ht="56.25" x14ac:dyDescent="0.25">
      <c r="A419" s="41" t="s">
        <v>29</v>
      </c>
      <c r="B419" s="23"/>
      <c r="C419" s="41" t="s">
        <v>1129</v>
      </c>
      <c r="D419" s="38" t="s">
        <v>1122</v>
      </c>
      <c r="E419" s="6"/>
      <c r="F419" s="10"/>
      <c r="G419" s="26"/>
      <c r="H419" s="27"/>
      <c r="I419" s="27"/>
      <c r="J419" s="28"/>
      <c r="K419" s="64"/>
      <c r="L419" s="35"/>
      <c r="M419" s="9">
        <v>33689.75</v>
      </c>
      <c r="N419" s="32"/>
      <c r="O419" s="28"/>
      <c r="P419" s="40"/>
      <c r="Q419" s="28"/>
      <c r="R419" s="26"/>
      <c r="S419" s="26"/>
      <c r="T419" s="38"/>
    </row>
    <row r="420" spans="1:20" s="43" customFormat="1" ht="33.75" x14ac:dyDescent="0.25">
      <c r="A420" s="41"/>
      <c r="B420" s="23"/>
      <c r="C420" s="41" t="s">
        <v>1130</v>
      </c>
      <c r="D420" s="38"/>
      <c r="E420" s="6"/>
      <c r="F420" s="10"/>
      <c r="G420" s="26"/>
      <c r="H420" s="27"/>
      <c r="I420" s="27"/>
      <c r="J420" s="28"/>
      <c r="K420" s="64"/>
      <c r="L420" s="35"/>
      <c r="M420" s="9">
        <v>-8652.2099999999991</v>
      </c>
      <c r="N420" s="32"/>
      <c r="O420" s="28"/>
      <c r="P420" s="40"/>
      <c r="Q420" s="28"/>
      <c r="R420" s="26"/>
      <c r="S420" s="26"/>
      <c r="T420" s="38"/>
    </row>
    <row r="421" spans="1:20" s="43" customFormat="1" ht="33.75" x14ac:dyDescent="0.25">
      <c r="A421" s="41"/>
      <c r="B421" s="23"/>
      <c r="C421" s="41" t="s">
        <v>1131</v>
      </c>
      <c r="D421" s="38"/>
      <c r="E421" s="6"/>
      <c r="F421" s="10"/>
      <c r="G421" s="26"/>
      <c r="H421" s="27"/>
      <c r="I421" s="27"/>
      <c r="J421" s="28"/>
      <c r="K421" s="64"/>
      <c r="L421" s="35"/>
      <c r="M421" s="9">
        <v>11419.71</v>
      </c>
      <c r="N421" s="32"/>
      <c r="O421" s="28"/>
      <c r="P421" s="40"/>
      <c r="Q421" s="28"/>
      <c r="R421" s="26"/>
      <c r="S421" s="26"/>
      <c r="T421" s="38"/>
    </row>
    <row r="422" spans="1:20" s="43" customFormat="1" ht="157.5" x14ac:dyDescent="0.25">
      <c r="A422" s="41" t="s">
        <v>29</v>
      </c>
      <c r="B422" s="23"/>
      <c r="C422" s="41" t="s">
        <v>1132</v>
      </c>
      <c r="D422" s="38">
        <v>364</v>
      </c>
      <c r="E422" s="6">
        <v>2380600</v>
      </c>
      <c r="F422" s="10">
        <f>2131477.41+93186.59</f>
        <v>2224664</v>
      </c>
      <c r="G422" s="26" t="s">
        <v>1133</v>
      </c>
      <c r="H422" s="27"/>
      <c r="I422" s="27"/>
      <c r="J422" s="28" t="s">
        <v>1134</v>
      </c>
      <c r="K422" s="26" t="s">
        <v>1135</v>
      </c>
      <c r="L422" s="35">
        <v>6.6699999999999995E-2</v>
      </c>
      <c r="M422" s="61">
        <v>2082494.46</v>
      </c>
      <c r="N422" s="32">
        <v>44868</v>
      </c>
      <c r="O422" s="115" t="s">
        <v>1136</v>
      </c>
      <c r="P422" s="40">
        <v>728</v>
      </c>
      <c r="Q422" s="26">
        <v>44972</v>
      </c>
      <c r="R422" s="26" t="s">
        <v>1487</v>
      </c>
      <c r="S422" s="26"/>
      <c r="T422" s="82"/>
    </row>
    <row r="423" spans="1:20" s="43" customFormat="1" ht="225" x14ac:dyDescent="0.25">
      <c r="A423" s="41" t="s">
        <v>29</v>
      </c>
      <c r="B423" s="23"/>
      <c r="C423" s="41" t="s">
        <v>1137</v>
      </c>
      <c r="D423" s="38">
        <v>333</v>
      </c>
      <c r="E423" s="6">
        <v>1294924.78</v>
      </c>
      <c r="F423" s="10">
        <f>1010000+90000</f>
        <v>1100000</v>
      </c>
      <c r="G423" s="26" t="s">
        <v>1138</v>
      </c>
      <c r="H423" s="27"/>
      <c r="I423" s="27"/>
      <c r="J423" s="28" t="s">
        <v>1139</v>
      </c>
      <c r="K423" s="64" t="s">
        <v>1140</v>
      </c>
      <c r="L423" s="35">
        <v>0.1011</v>
      </c>
      <c r="M423" s="9">
        <v>997889</v>
      </c>
      <c r="N423" s="32">
        <v>44739</v>
      </c>
      <c r="O423" s="28" t="s">
        <v>1141</v>
      </c>
      <c r="P423" s="40">
        <v>300</v>
      </c>
      <c r="Q423" s="26" t="s">
        <v>1142</v>
      </c>
      <c r="R423" s="26" t="s">
        <v>1486</v>
      </c>
      <c r="S423" s="26"/>
      <c r="T423" s="38"/>
    </row>
    <row r="424" spans="1:20" s="43" customFormat="1" ht="22.5" x14ac:dyDescent="0.25">
      <c r="A424" s="41" t="s">
        <v>29</v>
      </c>
      <c r="B424" s="23"/>
      <c r="C424" s="41" t="s">
        <v>1143</v>
      </c>
      <c r="D424" s="38">
        <v>333</v>
      </c>
      <c r="E424" s="6"/>
      <c r="F424" s="10"/>
      <c r="G424" s="26"/>
      <c r="H424" s="27"/>
      <c r="I424" s="27"/>
      <c r="J424" s="28"/>
      <c r="K424" s="64"/>
      <c r="L424" s="35"/>
      <c r="M424" s="9">
        <v>179771.6</v>
      </c>
      <c r="N424" s="32"/>
      <c r="O424" s="28"/>
      <c r="P424" s="40"/>
      <c r="Q424" s="28"/>
      <c r="R424" s="26"/>
      <c r="S424" s="26"/>
      <c r="T424" s="38"/>
    </row>
    <row r="425" spans="1:20" s="43" customFormat="1" ht="180" x14ac:dyDescent="0.25">
      <c r="A425" s="41" t="s">
        <v>29</v>
      </c>
      <c r="B425" s="23"/>
      <c r="C425" s="41" t="s">
        <v>1144</v>
      </c>
      <c r="D425" s="38">
        <v>240</v>
      </c>
      <c r="E425" s="6">
        <v>396600</v>
      </c>
      <c r="F425" s="10">
        <f>330368.29+11106.02</f>
        <v>341474.31</v>
      </c>
      <c r="G425" s="27" t="s">
        <v>19</v>
      </c>
      <c r="H425" s="27" t="s">
        <v>19</v>
      </c>
      <c r="I425" s="29" t="s">
        <v>1145</v>
      </c>
      <c r="J425" s="28" t="s">
        <v>1146</v>
      </c>
      <c r="K425" s="64" t="s">
        <v>1147</v>
      </c>
      <c r="L425" s="35">
        <v>8.2500000000000004E-2</v>
      </c>
      <c r="M425" s="61">
        <v>314218.93</v>
      </c>
      <c r="N425" s="32">
        <v>44622</v>
      </c>
      <c r="O425" s="116">
        <v>44673</v>
      </c>
      <c r="P425" s="40">
        <v>75</v>
      </c>
      <c r="Q425" s="26">
        <v>44707</v>
      </c>
      <c r="R425" s="26" t="s">
        <v>1148</v>
      </c>
      <c r="S425" s="26"/>
      <c r="T425" s="26"/>
    </row>
    <row r="426" spans="1:20" s="43" customFormat="1" ht="146.25" x14ac:dyDescent="0.25">
      <c r="A426" s="41" t="s">
        <v>21</v>
      </c>
      <c r="B426" s="23"/>
      <c r="C426" s="41" t="s">
        <v>1149</v>
      </c>
      <c r="D426" s="38">
        <v>372</v>
      </c>
      <c r="E426" s="6">
        <v>246200</v>
      </c>
      <c r="F426" s="10">
        <f>195999.59+4000.41</f>
        <v>200000</v>
      </c>
      <c r="G426" s="27"/>
      <c r="H426" s="27"/>
      <c r="I426" s="29" t="s">
        <v>1150</v>
      </c>
      <c r="J426" s="28" t="s">
        <v>1151</v>
      </c>
      <c r="K426" s="64" t="s">
        <v>1152</v>
      </c>
      <c r="L426" s="35">
        <v>1.7999999999999999E-2</v>
      </c>
      <c r="M426" s="61">
        <v>196472.01</v>
      </c>
      <c r="N426" s="32">
        <v>44622</v>
      </c>
      <c r="O426" s="116">
        <v>44680</v>
      </c>
      <c r="P426" s="40">
        <v>120</v>
      </c>
      <c r="Q426" s="26">
        <v>44700</v>
      </c>
      <c r="R426" s="26">
        <v>44697</v>
      </c>
      <c r="S426" s="26">
        <v>45142</v>
      </c>
      <c r="T426" s="26">
        <v>45232</v>
      </c>
    </row>
    <row r="427" spans="1:20" s="43" customFormat="1" ht="146.25" x14ac:dyDescent="0.25">
      <c r="A427" s="41" t="s">
        <v>21</v>
      </c>
      <c r="B427" s="23"/>
      <c r="C427" s="41" t="s">
        <v>1153</v>
      </c>
      <c r="D427" s="38" t="s">
        <v>1709</v>
      </c>
      <c r="E427" s="6">
        <v>2469495.7400000002</v>
      </c>
      <c r="F427" s="10">
        <f>2012346.05+74294.84</f>
        <v>2086640.8900000001</v>
      </c>
      <c r="G427" s="26" t="s">
        <v>1154</v>
      </c>
      <c r="H427" s="27"/>
      <c r="I427" s="27"/>
      <c r="J427" s="28" t="s">
        <v>1155</v>
      </c>
      <c r="K427" s="64" t="s">
        <v>1156</v>
      </c>
      <c r="L427" s="35">
        <v>2.64E-2</v>
      </c>
      <c r="M427" s="61">
        <v>2033514.95</v>
      </c>
      <c r="N427" s="32">
        <v>44770</v>
      </c>
      <c r="O427" s="116" t="s">
        <v>1710</v>
      </c>
      <c r="P427" s="40">
        <v>525</v>
      </c>
      <c r="Q427" s="26">
        <v>44816</v>
      </c>
      <c r="R427" s="26">
        <v>44896</v>
      </c>
      <c r="S427" s="26" t="s">
        <v>1711</v>
      </c>
      <c r="T427" s="26"/>
    </row>
    <row r="428" spans="1:20" s="43" customFormat="1" ht="112.5" x14ac:dyDescent="0.25">
      <c r="A428" s="41" t="s">
        <v>29</v>
      </c>
      <c r="B428" s="23"/>
      <c r="C428" s="41" t="s">
        <v>1157</v>
      </c>
      <c r="D428" s="38">
        <v>240</v>
      </c>
      <c r="E428" s="6">
        <v>801580.66</v>
      </c>
      <c r="F428" s="10">
        <f>740684.1+34737.39</f>
        <v>775421.49</v>
      </c>
      <c r="G428" s="26" t="s">
        <v>1158</v>
      </c>
      <c r="H428" s="27"/>
      <c r="I428" s="27"/>
      <c r="J428" s="28" t="s">
        <v>1159</v>
      </c>
      <c r="K428" s="64" t="s">
        <v>1160</v>
      </c>
      <c r="L428" s="35">
        <v>8.1199999999999994E-2</v>
      </c>
      <c r="M428" s="61">
        <v>715277.94</v>
      </c>
      <c r="N428" s="32" t="s">
        <v>1161</v>
      </c>
      <c r="O428" s="28" t="s">
        <v>1712</v>
      </c>
      <c r="P428" s="40">
        <v>470</v>
      </c>
      <c r="Q428" s="26">
        <v>44986</v>
      </c>
      <c r="R428" s="26" t="s">
        <v>1095</v>
      </c>
      <c r="S428" s="26"/>
      <c r="T428" s="82"/>
    </row>
    <row r="429" spans="1:20" s="43" customFormat="1" ht="56.25" x14ac:dyDescent="0.25">
      <c r="A429" s="41"/>
      <c r="B429" s="23"/>
      <c r="C429" s="41" t="s">
        <v>1162</v>
      </c>
      <c r="D429" s="38"/>
      <c r="E429" s="6"/>
      <c r="F429" s="10"/>
      <c r="G429" s="26"/>
      <c r="H429" s="27"/>
      <c r="I429" s="27"/>
      <c r="J429" s="28"/>
      <c r="K429" s="64"/>
      <c r="L429" s="35"/>
      <c r="M429" s="61">
        <v>14590.73</v>
      </c>
      <c r="N429" s="32"/>
      <c r="O429" s="28"/>
      <c r="P429" s="40"/>
      <c r="Q429" s="26"/>
      <c r="R429" s="26"/>
      <c r="S429" s="26"/>
      <c r="T429" s="82"/>
    </row>
    <row r="430" spans="1:20" s="43" customFormat="1" ht="56.25" x14ac:dyDescent="0.25">
      <c r="A430" s="41" t="s">
        <v>29</v>
      </c>
      <c r="B430" s="23"/>
      <c r="C430" s="41" t="s">
        <v>1485</v>
      </c>
      <c r="D430" s="38">
        <v>240</v>
      </c>
      <c r="E430" s="6"/>
      <c r="F430" s="10"/>
      <c r="G430" s="26"/>
      <c r="H430" s="27"/>
      <c r="I430" s="27"/>
      <c r="J430" s="28"/>
      <c r="K430" s="64"/>
      <c r="L430" s="35"/>
      <c r="M430" s="61">
        <v>19137.88</v>
      </c>
      <c r="N430" s="32"/>
      <c r="O430" s="28"/>
      <c r="P430" s="40"/>
      <c r="Q430" s="26"/>
      <c r="R430" s="26"/>
      <c r="S430" s="26"/>
      <c r="T430" s="82"/>
    </row>
    <row r="431" spans="1:20" s="43" customFormat="1" ht="202.5" x14ac:dyDescent="0.25">
      <c r="A431" s="41" t="s">
        <v>21</v>
      </c>
      <c r="B431" s="23"/>
      <c r="C431" s="41" t="s">
        <v>1713</v>
      </c>
      <c r="D431" s="38">
        <v>326</v>
      </c>
      <c r="E431" s="6">
        <v>1194711</v>
      </c>
      <c r="F431" s="10">
        <f>1111055.91+28997.09</f>
        <v>1140053</v>
      </c>
      <c r="G431" s="26" t="s">
        <v>1163</v>
      </c>
      <c r="H431" s="27"/>
      <c r="I431" s="27"/>
      <c r="J431" s="28" t="s">
        <v>1164</v>
      </c>
      <c r="K431" s="64" t="s">
        <v>1124</v>
      </c>
      <c r="L431" s="35">
        <v>5.6689999999999997E-2</v>
      </c>
      <c r="M431" s="9">
        <v>1077067.24</v>
      </c>
      <c r="N431" s="32">
        <v>44805</v>
      </c>
      <c r="O431" s="28" t="s">
        <v>1714</v>
      </c>
      <c r="P431" s="40">
        <v>210</v>
      </c>
      <c r="Q431" s="26" t="s">
        <v>1715</v>
      </c>
      <c r="R431" s="26">
        <v>44872</v>
      </c>
      <c r="S431" s="26" t="s">
        <v>1716</v>
      </c>
      <c r="T431" s="29">
        <v>45534</v>
      </c>
    </row>
    <row r="432" spans="1:20" s="43" customFormat="1" ht="22.5" x14ac:dyDescent="0.25">
      <c r="A432" s="41"/>
      <c r="B432" s="23"/>
      <c r="C432" s="41" t="s">
        <v>1165</v>
      </c>
      <c r="D432" s="38">
        <v>326</v>
      </c>
      <c r="E432" s="6"/>
      <c r="F432" s="10"/>
      <c r="G432" s="26"/>
      <c r="H432" s="27"/>
      <c r="I432" s="27"/>
      <c r="J432" s="28"/>
      <c r="K432" s="64"/>
      <c r="L432" s="35"/>
      <c r="M432" s="9">
        <v>34380.39</v>
      </c>
      <c r="N432" s="32"/>
      <c r="O432" s="28"/>
      <c r="P432" s="40"/>
      <c r="Q432" s="28"/>
      <c r="R432" s="26"/>
      <c r="S432" s="26"/>
      <c r="T432" s="38"/>
    </row>
    <row r="433" spans="1:20" s="43" customFormat="1" ht="22.5" x14ac:dyDescent="0.25">
      <c r="A433" s="41"/>
      <c r="B433" s="23"/>
      <c r="C433" s="41" t="s">
        <v>1166</v>
      </c>
      <c r="D433" s="38">
        <v>326</v>
      </c>
      <c r="E433" s="6"/>
      <c r="F433" s="10"/>
      <c r="G433" s="26"/>
      <c r="H433" s="27"/>
      <c r="I433" s="27"/>
      <c r="J433" s="28"/>
      <c r="K433" s="64"/>
      <c r="L433" s="35"/>
      <c r="M433" s="9">
        <v>41597.040000000001</v>
      </c>
      <c r="N433" s="32"/>
      <c r="O433" s="28"/>
      <c r="P433" s="40"/>
      <c r="Q433" s="28"/>
      <c r="R433" s="26"/>
      <c r="S433" s="26"/>
      <c r="T433" s="38"/>
    </row>
    <row r="434" spans="1:20" s="43" customFormat="1" ht="22.5" x14ac:dyDescent="0.25">
      <c r="A434" s="41"/>
      <c r="B434" s="23"/>
      <c r="C434" s="41" t="s">
        <v>1167</v>
      </c>
      <c r="D434" s="38">
        <v>326</v>
      </c>
      <c r="E434" s="6"/>
      <c r="F434" s="10"/>
      <c r="G434" s="26"/>
      <c r="H434" s="27"/>
      <c r="I434" s="27"/>
      <c r="J434" s="28"/>
      <c r="K434" s="64"/>
      <c r="L434" s="35"/>
      <c r="M434" s="9">
        <v>44692.59</v>
      </c>
      <c r="N434" s="32"/>
      <c r="O434" s="28"/>
      <c r="P434" s="40"/>
      <c r="Q434" s="28"/>
      <c r="R434" s="26"/>
      <c r="S434" s="26"/>
      <c r="T434" s="38"/>
    </row>
    <row r="435" spans="1:20" s="43" customFormat="1" ht="33.75" x14ac:dyDescent="0.25">
      <c r="A435" s="41"/>
      <c r="B435" s="23"/>
      <c r="C435" s="41" t="s">
        <v>1168</v>
      </c>
      <c r="D435" s="38">
        <v>326</v>
      </c>
      <c r="E435" s="6"/>
      <c r="F435" s="10"/>
      <c r="G435" s="26"/>
      <c r="H435" s="27"/>
      <c r="I435" s="27"/>
      <c r="J435" s="28"/>
      <c r="K435" s="64"/>
      <c r="L435" s="35"/>
      <c r="M435" s="9">
        <v>56576.22</v>
      </c>
      <c r="N435" s="32"/>
      <c r="O435" s="28"/>
      <c r="P435" s="40"/>
      <c r="Q435" s="28"/>
      <c r="R435" s="26"/>
      <c r="S435" s="26"/>
      <c r="T435" s="38"/>
    </row>
    <row r="436" spans="1:20" s="43" customFormat="1" ht="33.75" x14ac:dyDescent="0.25">
      <c r="A436" s="41"/>
      <c r="B436" s="23"/>
      <c r="C436" s="41" t="s">
        <v>1169</v>
      </c>
      <c r="D436" s="38">
        <v>326</v>
      </c>
      <c r="E436" s="6"/>
      <c r="F436" s="10"/>
      <c r="G436" s="26"/>
      <c r="H436" s="27"/>
      <c r="I436" s="27"/>
      <c r="J436" s="28"/>
      <c r="K436" s="64"/>
      <c r="L436" s="35"/>
      <c r="M436" s="9">
        <v>47206.63</v>
      </c>
      <c r="N436" s="32"/>
      <c r="O436" s="28"/>
      <c r="P436" s="40"/>
      <c r="Q436" s="28"/>
      <c r="R436" s="26"/>
      <c r="S436" s="26"/>
      <c r="T436" s="38"/>
    </row>
    <row r="437" spans="1:20" s="43" customFormat="1" ht="33.75" x14ac:dyDescent="0.25">
      <c r="A437" s="41"/>
      <c r="B437" s="23"/>
      <c r="C437" s="41" t="s">
        <v>1170</v>
      </c>
      <c r="D437" s="38">
        <v>326</v>
      </c>
      <c r="E437" s="6"/>
      <c r="F437" s="10"/>
      <c r="G437" s="26"/>
      <c r="H437" s="27"/>
      <c r="I437" s="27"/>
      <c r="J437" s="28"/>
      <c r="K437" s="64"/>
      <c r="L437" s="35"/>
      <c r="M437" s="9">
        <v>49041.7</v>
      </c>
      <c r="N437" s="32"/>
      <c r="O437" s="28"/>
      <c r="P437" s="40"/>
      <c r="Q437" s="28"/>
      <c r="R437" s="26"/>
      <c r="S437" s="26"/>
      <c r="T437" s="38"/>
    </row>
    <row r="438" spans="1:20" s="43" customFormat="1" ht="146.25" x14ac:dyDescent="0.25">
      <c r="A438" s="41" t="s">
        <v>29</v>
      </c>
      <c r="B438" s="23"/>
      <c r="C438" s="41" t="s">
        <v>1171</v>
      </c>
      <c r="D438" s="38">
        <v>383</v>
      </c>
      <c r="E438" s="6">
        <v>440268.52</v>
      </c>
      <c r="F438" s="10">
        <f>117760.8+3353.79</f>
        <v>121114.59</v>
      </c>
      <c r="G438" s="27"/>
      <c r="H438" s="27"/>
      <c r="I438" s="34" t="s">
        <v>1172</v>
      </c>
      <c r="J438" s="28" t="s">
        <v>1173</v>
      </c>
      <c r="K438" s="64" t="s">
        <v>1174</v>
      </c>
      <c r="L438" s="35">
        <v>1.18E-2</v>
      </c>
      <c r="M438" s="31">
        <v>119725.01</v>
      </c>
      <c r="N438" s="32">
        <v>44655</v>
      </c>
      <c r="O438" s="116" t="s">
        <v>1717</v>
      </c>
      <c r="P438" s="40">
        <v>175</v>
      </c>
      <c r="Q438" s="26">
        <v>44756</v>
      </c>
      <c r="R438" s="26"/>
      <c r="S438" s="26">
        <v>45108</v>
      </c>
      <c r="T438" s="26">
        <v>45169</v>
      </c>
    </row>
    <row r="439" spans="1:20" s="43" customFormat="1" ht="33.75" x14ac:dyDescent="0.25">
      <c r="A439" s="41" t="s">
        <v>29</v>
      </c>
      <c r="B439" s="23"/>
      <c r="C439" s="41" t="s">
        <v>1175</v>
      </c>
      <c r="D439" s="38">
        <v>383</v>
      </c>
      <c r="E439" s="6"/>
      <c r="F439" s="10"/>
      <c r="G439" s="27"/>
      <c r="H439" s="27"/>
      <c r="I439" s="34"/>
      <c r="J439" s="28"/>
      <c r="K439" s="64"/>
      <c r="L439" s="35"/>
      <c r="M439" s="61">
        <v>5172.4399999999996</v>
      </c>
      <c r="N439" s="32"/>
      <c r="O439" s="116"/>
      <c r="P439" s="40"/>
      <c r="Q439" s="26"/>
      <c r="R439" s="26"/>
      <c r="S439" s="26"/>
      <c r="T439" s="26"/>
    </row>
    <row r="440" spans="1:20" s="43" customFormat="1" ht="56.25" x14ac:dyDescent="0.25">
      <c r="A440" s="41" t="s">
        <v>21</v>
      </c>
      <c r="B440" s="23"/>
      <c r="C440" s="41" t="s">
        <v>1177</v>
      </c>
      <c r="D440" s="38" t="s">
        <v>1718</v>
      </c>
      <c r="E440" s="6">
        <f>200000+600</f>
        <v>200600</v>
      </c>
      <c r="F440" s="6">
        <f>200000+600</f>
        <v>200600</v>
      </c>
      <c r="G440" s="26" t="s">
        <v>1178</v>
      </c>
      <c r="H440" s="27"/>
      <c r="I440" s="27"/>
      <c r="J440" s="28" t="s">
        <v>1179</v>
      </c>
      <c r="K440" s="64" t="s">
        <v>1180</v>
      </c>
      <c r="L440" s="35">
        <v>0.10892</v>
      </c>
      <c r="M440" s="61">
        <v>178816</v>
      </c>
      <c r="N440" s="32" t="s">
        <v>1181</v>
      </c>
      <c r="O440" s="28" t="s">
        <v>1182</v>
      </c>
      <c r="P440" s="40">
        <v>200</v>
      </c>
      <c r="Q440" s="26"/>
      <c r="R440" s="26"/>
      <c r="S440" s="26"/>
      <c r="T440" s="82" t="s">
        <v>1719</v>
      </c>
    </row>
    <row r="441" spans="1:20" s="43" customFormat="1" ht="135" x14ac:dyDescent="0.25">
      <c r="A441" s="41" t="s">
        <v>18</v>
      </c>
      <c r="B441" s="23"/>
      <c r="C441" s="41" t="s">
        <v>1183</v>
      </c>
      <c r="D441" s="38">
        <v>240</v>
      </c>
      <c r="E441" s="6">
        <v>165750</v>
      </c>
      <c r="F441" s="10">
        <f>121504.59+2334.08</f>
        <v>123838.67</v>
      </c>
      <c r="G441" s="27"/>
      <c r="H441" s="27"/>
      <c r="I441" s="29" t="s">
        <v>1184</v>
      </c>
      <c r="J441" s="28" t="s">
        <v>1185</v>
      </c>
      <c r="K441" s="64" t="s">
        <v>1186</v>
      </c>
      <c r="L441" s="35">
        <v>1.001E-2</v>
      </c>
      <c r="M441" s="9">
        <v>122622.41</v>
      </c>
      <c r="N441" s="32">
        <v>44720</v>
      </c>
      <c r="O441" s="28" t="s">
        <v>1187</v>
      </c>
      <c r="P441" s="40">
        <v>150</v>
      </c>
      <c r="Q441" s="26">
        <v>44754</v>
      </c>
      <c r="R441" s="26" t="s">
        <v>1188</v>
      </c>
      <c r="S441" s="29">
        <v>45015</v>
      </c>
      <c r="T441" s="26">
        <v>45064</v>
      </c>
    </row>
    <row r="442" spans="1:20" s="43" customFormat="1" ht="45" x14ac:dyDescent="0.25">
      <c r="A442" s="41" t="s">
        <v>18</v>
      </c>
      <c r="B442" s="23"/>
      <c r="C442" s="86" t="s">
        <v>1189</v>
      </c>
      <c r="D442" s="38">
        <v>240</v>
      </c>
      <c r="E442" s="6"/>
      <c r="F442" s="10"/>
      <c r="G442" s="27"/>
      <c r="H442" s="27"/>
      <c r="I442" s="29"/>
      <c r="J442" s="28"/>
      <c r="K442" s="64"/>
      <c r="L442" s="35"/>
      <c r="M442" s="9">
        <v>864.59</v>
      </c>
      <c r="N442" s="32"/>
      <c r="O442" s="28"/>
      <c r="P442" s="40"/>
      <c r="Q442" s="26"/>
      <c r="R442" s="26"/>
      <c r="S442" s="38"/>
      <c r="T442" s="26"/>
    </row>
    <row r="443" spans="1:20" s="43" customFormat="1" ht="101.25" x14ac:dyDescent="0.25">
      <c r="A443" s="41" t="s">
        <v>29</v>
      </c>
      <c r="B443" s="23"/>
      <c r="C443" s="41" t="s">
        <v>1190</v>
      </c>
      <c r="D443" s="38">
        <v>240</v>
      </c>
      <c r="E443" s="6">
        <v>300000</v>
      </c>
      <c r="F443" s="10">
        <f>238488.94+3676.58</f>
        <v>242165.52</v>
      </c>
      <c r="G443" s="27" t="s">
        <v>19</v>
      </c>
      <c r="H443" s="27" t="s">
        <v>19</v>
      </c>
      <c r="I443" s="29" t="s">
        <v>1191</v>
      </c>
      <c r="J443" s="28" t="s">
        <v>1192</v>
      </c>
      <c r="K443" s="64" t="s">
        <v>1193</v>
      </c>
      <c r="L443" s="35">
        <v>0.10580000000000001</v>
      </c>
      <c r="M443" s="9">
        <v>216933.39</v>
      </c>
      <c r="N443" s="32">
        <v>44728</v>
      </c>
      <c r="O443" s="28" t="s">
        <v>1194</v>
      </c>
      <c r="P443" s="40">
        <v>60</v>
      </c>
      <c r="Q443" s="26">
        <v>44888</v>
      </c>
      <c r="R443" s="26" t="s">
        <v>1195</v>
      </c>
      <c r="S443" s="38"/>
      <c r="T443" s="26"/>
    </row>
    <row r="444" spans="1:20" s="43" customFormat="1" ht="90" x14ac:dyDescent="0.25">
      <c r="A444" s="38" t="s">
        <v>489</v>
      </c>
      <c r="B444" s="23"/>
      <c r="C444" s="41" t="s">
        <v>1196</v>
      </c>
      <c r="D444" s="38" t="s">
        <v>1197</v>
      </c>
      <c r="E444" s="6">
        <v>65573.77</v>
      </c>
      <c r="F444" s="10">
        <f>59959.4+4655.62</f>
        <v>64615.020000000004</v>
      </c>
      <c r="G444" s="27" t="s">
        <v>19</v>
      </c>
      <c r="H444" s="27" t="s">
        <v>19</v>
      </c>
      <c r="I444" s="29" t="s">
        <v>1198</v>
      </c>
      <c r="J444" s="28" t="s">
        <v>1199</v>
      </c>
      <c r="K444" s="64" t="s">
        <v>1200</v>
      </c>
      <c r="L444" s="35">
        <v>5.0000000000000001E-3</v>
      </c>
      <c r="M444" s="9">
        <v>64315.22</v>
      </c>
      <c r="N444" s="32">
        <v>44774</v>
      </c>
      <c r="O444" s="28" t="s">
        <v>1201</v>
      </c>
      <c r="P444" s="40">
        <v>90</v>
      </c>
      <c r="Q444" s="26">
        <v>44852</v>
      </c>
      <c r="R444" s="26" t="s">
        <v>1202</v>
      </c>
      <c r="S444" s="38"/>
      <c r="T444" s="26"/>
    </row>
    <row r="445" spans="1:20" s="43" customFormat="1" ht="56.25" x14ac:dyDescent="0.25">
      <c r="A445" s="38" t="s">
        <v>489</v>
      </c>
      <c r="B445" s="23"/>
      <c r="C445" s="41" t="s">
        <v>1203</v>
      </c>
      <c r="D445" s="38">
        <v>240</v>
      </c>
      <c r="E445" s="6">
        <v>110500</v>
      </c>
      <c r="F445" s="10">
        <f>98000+2000</f>
        <v>100000</v>
      </c>
      <c r="G445" s="27"/>
      <c r="H445" s="27"/>
      <c r="I445" s="29" t="s">
        <v>1204</v>
      </c>
      <c r="J445" s="28" t="s">
        <v>1205</v>
      </c>
      <c r="K445" s="64" t="s">
        <v>1152</v>
      </c>
      <c r="L445" s="35">
        <v>1.0500000000000001E-2</v>
      </c>
      <c r="M445" s="9">
        <v>100000</v>
      </c>
      <c r="N445" s="32">
        <v>44768</v>
      </c>
      <c r="O445" s="28" t="s">
        <v>1206</v>
      </c>
      <c r="P445" s="40" t="s">
        <v>1207</v>
      </c>
      <c r="Q445" s="26">
        <v>44893</v>
      </c>
      <c r="R445" s="26"/>
      <c r="S445" s="29">
        <v>45538</v>
      </c>
      <c r="T445" s="29">
        <v>45538</v>
      </c>
    </row>
    <row r="446" spans="1:20" s="43" customFormat="1" ht="45" x14ac:dyDescent="0.25">
      <c r="A446" s="38" t="s">
        <v>489</v>
      </c>
      <c r="B446" s="23"/>
      <c r="C446" s="86" t="s">
        <v>1208</v>
      </c>
      <c r="D446" s="38">
        <v>240</v>
      </c>
      <c r="E446" s="6"/>
      <c r="F446" s="10"/>
      <c r="G446" s="27"/>
      <c r="H446" s="27"/>
      <c r="I446" s="29"/>
      <c r="J446" s="28"/>
      <c r="K446" s="64"/>
      <c r="L446" s="35"/>
      <c r="M446" s="9"/>
      <c r="N446" s="32"/>
      <c r="O446" s="28"/>
      <c r="P446" s="40"/>
      <c r="Q446" s="26"/>
      <c r="R446" s="26"/>
      <c r="S446" s="38"/>
      <c r="T446" s="26"/>
    </row>
    <row r="447" spans="1:20" s="43" customFormat="1" ht="45" x14ac:dyDescent="0.25">
      <c r="A447" s="38" t="s">
        <v>489</v>
      </c>
      <c r="B447" s="23"/>
      <c r="C447" s="86" t="s">
        <v>1209</v>
      </c>
      <c r="D447" s="38">
        <v>240</v>
      </c>
      <c r="E447" s="6"/>
      <c r="F447" s="10"/>
      <c r="G447" s="27"/>
      <c r="H447" s="27"/>
      <c r="I447" s="29"/>
      <c r="J447" s="28"/>
      <c r="K447" s="64"/>
      <c r="L447" s="35"/>
      <c r="M447" s="9"/>
      <c r="N447" s="32"/>
      <c r="O447" s="28"/>
      <c r="P447" s="40"/>
      <c r="Q447" s="26"/>
      <c r="R447" s="26"/>
      <c r="S447" s="38"/>
      <c r="T447" s="26"/>
    </row>
    <row r="448" spans="1:20" s="43" customFormat="1" ht="67.5" x14ac:dyDescent="0.25">
      <c r="A448" s="38" t="s">
        <v>489</v>
      </c>
      <c r="B448" s="23"/>
      <c r="C448" s="86" t="s">
        <v>1720</v>
      </c>
      <c r="D448" s="38">
        <v>240</v>
      </c>
      <c r="E448" s="6"/>
      <c r="F448" s="10"/>
      <c r="G448" s="27"/>
      <c r="H448" s="27"/>
      <c r="I448" s="29"/>
      <c r="J448" s="28"/>
      <c r="K448" s="64"/>
      <c r="L448" s="35"/>
      <c r="M448" s="9">
        <v>50000</v>
      </c>
      <c r="N448" s="32"/>
      <c r="O448" s="28"/>
      <c r="P448" s="40"/>
      <c r="Q448" s="26"/>
      <c r="R448" s="26"/>
      <c r="S448" s="38"/>
      <c r="T448" s="26"/>
    </row>
    <row r="449" spans="1:20" s="43" customFormat="1" ht="56.25" x14ac:dyDescent="0.25">
      <c r="A449" s="38" t="s">
        <v>489</v>
      </c>
      <c r="B449" s="23"/>
      <c r="C449" s="86" t="s">
        <v>1210</v>
      </c>
      <c r="D449" s="38">
        <v>240</v>
      </c>
      <c r="E449" s="6"/>
      <c r="F449" s="10"/>
      <c r="G449" s="27"/>
      <c r="H449" s="27"/>
      <c r="I449" s="29"/>
      <c r="J449" s="28"/>
      <c r="K449" s="64"/>
      <c r="L449" s="35"/>
      <c r="M449" s="9"/>
      <c r="N449" s="32"/>
      <c r="O449" s="28"/>
      <c r="P449" s="40"/>
      <c r="Q449" s="26"/>
      <c r="R449" s="26"/>
      <c r="S449" s="38"/>
      <c r="T449" s="26"/>
    </row>
    <row r="450" spans="1:20" s="43" customFormat="1" ht="22.5" x14ac:dyDescent="0.25">
      <c r="A450" s="38" t="s">
        <v>489</v>
      </c>
      <c r="B450" s="23"/>
      <c r="C450" s="86" t="s">
        <v>1211</v>
      </c>
      <c r="D450" s="38">
        <v>240</v>
      </c>
      <c r="E450" s="6"/>
      <c r="F450" s="10"/>
      <c r="G450" s="27"/>
      <c r="H450" s="27"/>
      <c r="I450" s="29"/>
      <c r="J450" s="28"/>
      <c r="K450" s="64"/>
      <c r="L450" s="35"/>
      <c r="M450" s="9">
        <v>17514.22</v>
      </c>
      <c r="N450" s="32"/>
      <c r="O450" s="28"/>
      <c r="P450" s="40"/>
      <c r="Q450" s="26"/>
      <c r="R450" s="26"/>
      <c r="S450" s="38"/>
      <c r="T450" s="26"/>
    </row>
    <row r="451" spans="1:20" s="43" customFormat="1" ht="112.5" x14ac:dyDescent="0.25">
      <c r="A451" s="41" t="s">
        <v>29</v>
      </c>
      <c r="B451" s="23"/>
      <c r="C451" s="86" t="s">
        <v>1212</v>
      </c>
      <c r="D451" s="38" t="s">
        <v>629</v>
      </c>
      <c r="E451" s="6">
        <v>194000</v>
      </c>
      <c r="F451" s="2">
        <f>167405.32+4091.6</f>
        <v>171496.92</v>
      </c>
      <c r="G451" s="27" t="s">
        <v>19</v>
      </c>
      <c r="H451" s="27" t="s">
        <v>19</v>
      </c>
      <c r="I451" s="29" t="s">
        <v>1213</v>
      </c>
      <c r="J451" s="28">
        <v>44768</v>
      </c>
      <c r="K451" s="64" t="s">
        <v>1214</v>
      </c>
      <c r="L451" s="35">
        <v>0.12570999999999999</v>
      </c>
      <c r="M451" s="61">
        <v>150452.4</v>
      </c>
      <c r="N451" s="32">
        <v>44774</v>
      </c>
      <c r="O451" s="28" t="s">
        <v>1721</v>
      </c>
      <c r="P451" s="40">
        <v>120</v>
      </c>
      <c r="Q451" s="26" t="s">
        <v>1215</v>
      </c>
      <c r="R451" s="26" t="s">
        <v>1216</v>
      </c>
      <c r="S451" s="29">
        <v>45569</v>
      </c>
      <c r="T451" s="29">
        <v>45579</v>
      </c>
    </row>
    <row r="452" spans="1:20" s="43" customFormat="1" ht="45" x14ac:dyDescent="0.25">
      <c r="A452" s="41" t="s">
        <v>29</v>
      </c>
      <c r="B452" s="23"/>
      <c r="C452" s="86" t="s">
        <v>1217</v>
      </c>
      <c r="D452" s="38" t="s">
        <v>629</v>
      </c>
      <c r="E452" s="6"/>
      <c r="F452" s="2"/>
      <c r="G452" s="27"/>
      <c r="H452" s="27"/>
      <c r="I452" s="29"/>
      <c r="J452" s="28"/>
      <c r="K452" s="64"/>
      <c r="L452" s="35"/>
      <c r="M452" s="61">
        <v>29242.76</v>
      </c>
      <c r="N452" s="32"/>
      <c r="O452" s="28"/>
      <c r="P452" s="40"/>
      <c r="Q452" s="26"/>
      <c r="R452" s="26"/>
      <c r="S452" s="82"/>
      <c r="T452" s="26"/>
    </row>
    <row r="453" spans="1:20" s="43" customFormat="1" ht="45" x14ac:dyDescent="0.25">
      <c r="A453" s="41"/>
      <c r="B453" s="23"/>
      <c r="C453" s="86" t="s">
        <v>1218</v>
      </c>
      <c r="D453" s="38"/>
      <c r="E453" s="6"/>
      <c r="F453" s="2"/>
      <c r="G453" s="27"/>
      <c r="H453" s="27"/>
      <c r="I453" s="29"/>
      <c r="J453" s="28"/>
      <c r="K453" s="64"/>
      <c r="L453" s="35"/>
      <c r="M453" s="61">
        <v>4533.09</v>
      </c>
      <c r="N453" s="32"/>
      <c r="O453" s="28"/>
      <c r="P453" s="40"/>
      <c r="Q453" s="26"/>
      <c r="R453" s="26"/>
      <c r="S453" s="82"/>
      <c r="T453" s="26"/>
    </row>
    <row r="454" spans="1:20" s="43" customFormat="1" ht="90.75" thickBot="1" x14ac:dyDescent="0.3">
      <c r="A454" s="38" t="s">
        <v>489</v>
      </c>
      <c r="B454" s="23"/>
      <c r="C454" s="41" t="s">
        <v>1722</v>
      </c>
      <c r="D454" s="38" t="s">
        <v>699</v>
      </c>
      <c r="E454" s="7">
        <f>4590000+1000</f>
        <v>4591000</v>
      </c>
      <c r="F454" s="7">
        <f>4590000+1000</f>
        <v>4591000</v>
      </c>
      <c r="G454" s="26" t="s">
        <v>1219</v>
      </c>
      <c r="H454" s="27" t="s">
        <v>19</v>
      </c>
      <c r="I454" s="27" t="s">
        <v>19</v>
      </c>
      <c r="J454" s="28" t="s">
        <v>1220</v>
      </c>
      <c r="K454" s="64" t="s">
        <v>1221</v>
      </c>
      <c r="L454" s="81" t="s">
        <v>1222</v>
      </c>
      <c r="M454" s="61">
        <v>3675016.9</v>
      </c>
      <c r="N454" s="32">
        <v>44916</v>
      </c>
      <c r="O454" s="28" t="s">
        <v>1223</v>
      </c>
      <c r="P454" s="117" t="s">
        <v>1224</v>
      </c>
      <c r="Q454" s="26">
        <v>44986</v>
      </c>
      <c r="R454" s="26"/>
      <c r="S454" s="26"/>
      <c r="T454" s="26"/>
    </row>
    <row r="455" spans="1:20" s="43" customFormat="1" ht="90" x14ac:dyDescent="0.25">
      <c r="A455" s="41" t="s">
        <v>21</v>
      </c>
      <c r="B455" s="73"/>
      <c r="C455" s="74" t="s">
        <v>1723</v>
      </c>
      <c r="D455" s="87" t="s">
        <v>1021</v>
      </c>
      <c r="E455" s="6">
        <f>605000+12100</f>
        <v>617100</v>
      </c>
      <c r="F455" s="6">
        <f>605000+12100</f>
        <v>617100</v>
      </c>
      <c r="G455" s="26" t="s">
        <v>1225</v>
      </c>
      <c r="H455" s="27"/>
      <c r="I455" s="27"/>
      <c r="J455" s="28" t="s">
        <v>1226</v>
      </c>
      <c r="K455" s="64" t="s">
        <v>1227</v>
      </c>
      <c r="L455" s="35">
        <v>0.105</v>
      </c>
      <c r="M455" s="61">
        <v>553575</v>
      </c>
      <c r="N455" s="32">
        <v>45000</v>
      </c>
      <c r="O455" s="28" t="s">
        <v>1724</v>
      </c>
      <c r="P455" s="117" t="s">
        <v>1228</v>
      </c>
      <c r="Q455" s="32">
        <v>45050</v>
      </c>
      <c r="R455" s="26"/>
      <c r="S455" s="26"/>
      <c r="T455" s="26">
        <v>45728</v>
      </c>
    </row>
    <row r="456" spans="1:20" s="43" customFormat="1" ht="45" x14ac:dyDescent="0.25">
      <c r="A456" s="41" t="s">
        <v>21</v>
      </c>
      <c r="B456" s="89"/>
      <c r="C456" s="41" t="s">
        <v>1229</v>
      </c>
      <c r="D456" s="118"/>
      <c r="E456" s="12"/>
      <c r="F456" s="12"/>
      <c r="G456" s="26"/>
      <c r="H456" s="91"/>
      <c r="I456" s="91"/>
      <c r="J456" s="92"/>
      <c r="K456" s="64"/>
      <c r="L456" s="93"/>
      <c r="M456" s="119">
        <v>110715</v>
      </c>
      <c r="N456" s="32"/>
      <c r="O456" s="28"/>
      <c r="P456" s="120"/>
      <c r="Q456" s="32"/>
      <c r="R456" s="50"/>
      <c r="S456" s="26"/>
      <c r="T456" s="26"/>
    </row>
    <row r="457" spans="1:20" s="43" customFormat="1" ht="56.25" x14ac:dyDescent="0.25">
      <c r="A457" s="41" t="s">
        <v>21</v>
      </c>
      <c r="B457" s="89"/>
      <c r="C457" s="41" t="s">
        <v>1230</v>
      </c>
      <c r="D457" s="118"/>
      <c r="E457" s="12"/>
      <c r="F457" s="12"/>
      <c r="G457" s="26"/>
      <c r="H457" s="91"/>
      <c r="I457" s="91"/>
      <c r="J457" s="92"/>
      <c r="K457" s="64"/>
      <c r="L457" s="93"/>
      <c r="M457" s="119">
        <v>5826.05</v>
      </c>
      <c r="N457" s="32"/>
      <c r="O457" s="28"/>
      <c r="P457" s="120"/>
      <c r="Q457" s="32"/>
      <c r="R457" s="50"/>
      <c r="S457" s="26"/>
      <c r="T457" s="26"/>
    </row>
    <row r="458" spans="1:20" s="43" customFormat="1" ht="90" x14ac:dyDescent="0.25">
      <c r="A458" s="41" t="s">
        <v>21</v>
      </c>
      <c r="B458" s="89"/>
      <c r="C458" s="121" t="s">
        <v>1725</v>
      </c>
      <c r="D458" s="118" t="s">
        <v>1021</v>
      </c>
      <c r="E458" s="12">
        <f>605000+12100</f>
        <v>617100</v>
      </c>
      <c r="F458" s="12">
        <f>605000+12100</f>
        <v>617100</v>
      </c>
      <c r="G458" s="26" t="s">
        <v>1225</v>
      </c>
      <c r="H458" s="91"/>
      <c r="I458" s="91"/>
      <c r="J458" s="92" t="s">
        <v>1226</v>
      </c>
      <c r="K458" s="64" t="s">
        <v>1231</v>
      </c>
      <c r="L458" s="93">
        <v>0.2525</v>
      </c>
      <c r="M458" s="119">
        <v>464337.5</v>
      </c>
      <c r="N458" s="32">
        <v>45000</v>
      </c>
      <c r="O458" s="28" t="s">
        <v>1232</v>
      </c>
      <c r="P458" s="120" t="s">
        <v>1228</v>
      </c>
      <c r="Q458" s="32">
        <v>45062</v>
      </c>
      <c r="R458" s="50"/>
      <c r="S458" s="26"/>
      <c r="T458" s="26"/>
    </row>
    <row r="459" spans="1:20" s="43" customFormat="1" ht="45" x14ac:dyDescent="0.25">
      <c r="A459" s="41"/>
      <c r="B459" s="23"/>
      <c r="C459" s="41" t="s">
        <v>1229</v>
      </c>
      <c r="D459" s="83"/>
      <c r="E459" s="12"/>
      <c r="F459" s="12"/>
      <c r="G459" s="26"/>
      <c r="H459" s="91"/>
      <c r="I459" s="91"/>
      <c r="J459" s="92"/>
      <c r="K459" s="64"/>
      <c r="L459" s="93"/>
      <c r="M459" s="119">
        <v>92867.5</v>
      </c>
      <c r="N459" s="32"/>
      <c r="O459" s="28"/>
      <c r="P459" s="120"/>
      <c r="Q459" s="32"/>
      <c r="R459" s="50"/>
      <c r="S459" s="26"/>
      <c r="T459" s="26"/>
    </row>
    <row r="460" spans="1:20" s="43" customFormat="1" ht="112.5" x14ac:dyDescent="0.25">
      <c r="A460" s="41" t="s">
        <v>29</v>
      </c>
      <c r="B460" s="23"/>
      <c r="C460" s="41" t="s">
        <v>1233</v>
      </c>
      <c r="D460" s="122" t="s">
        <v>1234</v>
      </c>
      <c r="E460" s="6">
        <v>258377.05</v>
      </c>
      <c r="F460" s="6">
        <f>210944.75+15469.25</f>
        <v>226414</v>
      </c>
      <c r="G460" s="27" t="s">
        <v>19</v>
      </c>
      <c r="H460" s="27" t="s">
        <v>19</v>
      </c>
      <c r="I460" s="29" t="s">
        <v>1235</v>
      </c>
      <c r="J460" s="92" t="s">
        <v>1236</v>
      </c>
      <c r="K460" s="64" t="s">
        <v>1237</v>
      </c>
      <c r="L460" s="35">
        <v>0.18229999999999999</v>
      </c>
      <c r="M460" s="61">
        <v>187958.77</v>
      </c>
      <c r="N460" s="32">
        <v>44956</v>
      </c>
      <c r="O460" s="28" t="s">
        <v>1238</v>
      </c>
      <c r="P460" s="117">
        <v>120</v>
      </c>
      <c r="Q460" s="32"/>
      <c r="R460" s="26">
        <v>45029</v>
      </c>
      <c r="S460" s="26"/>
      <c r="T460" s="26"/>
    </row>
    <row r="461" spans="1:20" s="43" customFormat="1" ht="78.75" x14ac:dyDescent="0.25">
      <c r="A461" s="38" t="s">
        <v>18</v>
      </c>
      <c r="B461" s="23"/>
      <c r="C461" s="41" t="s">
        <v>1239</v>
      </c>
      <c r="D461" s="38" t="s">
        <v>1726</v>
      </c>
      <c r="E461" s="6">
        <v>2680000</v>
      </c>
      <c r="F461" s="10">
        <f>2026309.03+35874.73</f>
        <v>2062183.76</v>
      </c>
      <c r="G461" s="26" t="s">
        <v>1240</v>
      </c>
      <c r="H461" s="27"/>
      <c r="I461" s="27"/>
      <c r="J461" s="28" t="s">
        <v>1241</v>
      </c>
      <c r="K461" s="64" t="s">
        <v>1242</v>
      </c>
      <c r="L461" s="35">
        <v>5.1810000000000002E-2</v>
      </c>
      <c r="M461" s="9">
        <v>1957200.69</v>
      </c>
      <c r="N461" s="32">
        <v>45035</v>
      </c>
      <c r="O461" s="28" t="s">
        <v>1727</v>
      </c>
      <c r="P461" s="40">
        <v>560</v>
      </c>
      <c r="Q461" s="26">
        <v>45097</v>
      </c>
      <c r="R461" s="26" t="s">
        <v>1243</v>
      </c>
      <c r="S461" s="26"/>
      <c r="T461" s="26"/>
    </row>
    <row r="462" spans="1:20" s="43" customFormat="1" ht="22.5" x14ac:dyDescent="0.25">
      <c r="A462" s="38"/>
      <c r="B462" s="23"/>
      <c r="C462" s="41" t="s">
        <v>1244</v>
      </c>
      <c r="D462" s="38"/>
      <c r="E462" s="6"/>
      <c r="F462" s="10"/>
      <c r="G462" s="26"/>
      <c r="H462" s="27"/>
      <c r="I462" s="27"/>
      <c r="J462" s="28"/>
      <c r="K462" s="64"/>
      <c r="L462" s="35"/>
      <c r="M462" s="9">
        <v>119958.59</v>
      </c>
      <c r="N462" s="32"/>
      <c r="O462" s="28"/>
      <c r="P462" s="40"/>
      <c r="Q462" s="26"/>
      <c r="R462" s="26"/>
      <c r="S462" s="26"/>
      <c r="T462" s="26"/>
    </row>
    <row r="463" spans="1:20" s="43" customFormat="1" ht="22.5" x14ac:dyDescent="0.25">
      <c r="A463" s="38"/>
      <c r="B463" s="23"/>
      <c r="C463" s="41" t="s">
        <v>1245</v>
      </c>
      <c r="D463" s="38"/>
      <c r="E463" s="6"/>
      <c r="F463" s="10"/>
      <c r="G463" s="26"/>
      <c r="H463" s="27"/>
      <c r="I463" s="27"/>
      <c r="J463" s="28"/>
      <c r="K463" s="64"/>
      <c r="L463" s="35"/>
      <c r="M463" s="9">
        <v>38166.230000000003</v>
      </c>
      <c r="N463" s="32"/>
      <c r="O463" s="28"/>
      <c r="P463" s="40"/>
      <c r="Q463" s="26"/>
      <c r="R463" s="26"/>
      <c r="S463" s="26"/>
      <c r="T463" s="26"/>
    </row>
    <row r="464" spans="1:20" s="43" customFormat="1" ht="168.75" x14ac:dyDescent="0.25">
      <c r="A464" s="41" t="s">
        <v>29</v>
      </c>
      <c r="B464" s="23"/>
      <c r="C464" s="41" t="s">
        <v>1246</v>
      </c>
      <c r="D464" s="38">
        <v>352</v>
      </c>
      <c r="E464" s="6">
        <v>1540000</v>
      </c>
      <c r="F464" s="10">
        <f>1376464.35+67962.43</f>
        <v>1444426.78</v>
      </c>
      <c r="G464" s="26" t="s">
        <v>1247</v>
      </c>
      <c r="H464" s="27"/>
      <c r="I464" s="27"/>
      <c r="J464" s="28" t="s">
        <v>1248</v>
      </c>
      <c r="K464" s="64" t="s">
        <v>1249</v>
      </c>
      <c r="L464" s="35">
        <v>1.712E-2</v>
      </c>
      <c r="M464" s="9">
        <v>1420861.71</v>
      </c>
      <c r="N464" s="32">
        <v>45009</v>
      </c>
      <c r="O464" s="28" t="s">
        <v>1728</v>
      </c>
      <c r="P464" s="40">
        <v>504</v>
      </c>
      <c r="Q464" s="26">
        <v>45089</v>
      </c>
      <c r="R464" s="26" t="s">
        <v>1250</v>
      </c>
      <c r="S464" s="26"/>
      <c r="T464" s="26"/>
    </row>
    <row r="465" spans="1:20" s="43" customFormat="1" ht="213.75" x14ac:dyDescent="0.25">
      <c r="A465" s="41" t="s">
        <v>29</v>
      </c>
      <c r="B465" s="23"/>
      <c r="C465" s="86" t="s">
        <v>1251</v>
      </c>
      <c r="D465" s="38" t="s">
        <v>1252</v>
      </c>
      <c r="E465" s="6">
        <v>456734</v>
      </c>
      <c r="F465" s="2">
        <f>420248+17928.7</f>
        <v>438176.7</v>
      </c>
      <c r="G465" s="27" t="s">
        <v>19</v>
      </c>
      <c r="H465" s="27" t="s">
        <v>19</v>
      </c>
      <c r="I465" s="29" t="s">
        <v>1253</v>
      </c>
      <c r="J465" s="92" t="s">
        <v>1254</v>
      </c>
      <c r="K465" s="64" t="s">
        <v>1255</v>
      </c>
      <c r="L465" s="35">
        <v>0.08</v>
      </c>
      <c r="M465" s="61">
        <v>404556.86</v>
      </c>
      <c r="N465" s="32">
        <v>44959</v>
      </c>
      <c r="O465" s="28" t="s">
        <v>1729</v>
      </c>
      <c r="P465" s="40">
        <v>210</v>
      </c>
      <c r="Q465" s="26" t="s">
        <v>1484</v>
      </c>
      <c r="R465" s="26" t="s">
        <v>1256</v>
      </c>
      <c r="S465" s="82"/>
      <c r="T465" s="82"/>
    </row>
    <row r="466" spans="1:20" s="43" customFormat="1" ht="78.75" x14ac:dyDescent="0.25">
      <c r="A466" s="41" t="s">
        <v>29</v>
      </c>
      <c r="B466" s="23"/>
      <c r="C466" s="41" t="s">
        <v>1176</v>
      </c>
      <c r="D466" s="38">
        <v>240</v>
      </c>
      <c r="E466" s="6">
        <f>302000+3000</f>
        <v>305000</v>
      </c>
      <c r="F466" s="6">
        <f>302000+3000</f>
        <v>305000</v>
      </c>
      <c r="G466" s="26" t="s">
        <v>1257</v>
      </c>
      <c r="H466" s="27"/>
      <c r="I466" s="27"/>
      <c r="J466" s="28" t="s">
        <v>1258</v>
      </c>
      <c r="K466" s="38" t="s">
        <v>727</v>
      </c>
      <c r="L466" s="35">
        <v>0.01</v>
      </c>
      <c r="M466" s="61">
        <v>301980</v>
      </c>
      <c r="N466" s="32">
        <v>45055</v>
      </c>
      <c r="O466" s="28" t="s">
        <v>1730</v>
      </c>
      <c r="P466" s="40">
        <v>150</v>
      </c>
      <c r="Q466" s="26">
        <v>45121</v>
      </c>
      <c r="R466" s="26">
        <v>45244</v>
      </c>
      <c r="S466" s="26"/>
      <c r="T466" s="26"/>
    </row>
    <row r="467" spans="1:20" s="43" customFormat="1" ht="157.5" x14ac:dyDescent="0.25">
      <c r="A467" s="41" t="s">
        <v>29</v>
      </c>
      <c r="B467" s="23"/>
      <c r="C467" s="86" t="s">
        <v>1259</v>
      </c>
      <c r="D467" s="38" t="s">
        <v>1260</v>
      </c>
      <c r="E467" s="7">
        <v>3052818.05</v>
      </c>
      <c r="F467" s="2">
        <f>2860317.94+74432.82</f>
        <v>2934750.76</v>
      </c>
      <c r="G467" s="26" t="s">
        <v>1261</v>
      </c>
      <c r="H467" s="27"/>
      <c r="I467" s="27"/>
      <c r="J467" s="28" t="s">
        <v>1262</v>
      </c>
      <c r="K467" s="20" t="s">
        <v>1263</v>
      </c>
      <c r="L467" s="35">
        <v>4.5710000000000001E-2</v>
      </c>
      <c r="M467" s="61">
        <v>2804005.63</v>
      </c>
      <c r="N467" s="32">
        <v>45098</v>
      </c>
      <c r="O467" s="28" t="s">
        <v>1731</v>
      </c>
      <c r="P467" s="117">
        <v>570</v>
      </c>
      <c r="Q467" s="26">
        <v>45187</v>
      </c>
      <c r="R467" s="26" t="s">
        <v>1482</v>
      </c>
      <c r="S467" s="26"/>
      <c r="T467" s="26"/>
    </row>
    <row r="468" spans="1:20" s="43" customFormat="1" ht="45" x14ac:dyDescent="0.25">
      <c r="A468" s="41"/>
      <c r="B468" s="23"/>
      <c r="C468" s="86" t="s">
        <v>1264</v>
      </c>
      <c r="D468" s="38"/>
      <c r="E468" s="7"/>
      <c r="F468" s="2"/>
      <c r="G468" s="26"/>
      <c r="H468" s="27"/>
      <c r="I468" s="27"/>
      <c r="J468" s="28"/>
      <c r="K468" s="20"/>
      <c r="L468" s="35"/>
      <c r="M468" s="61">
        <v>135888.25</v>
      </c>
      <c r="N468" s="32"/>
      <c r="O468" s="28"/>
      <c r="P468" s="117"/>
      <c r="Q468" s="26"/>
      <c r="R468" s="26"/>
      <c r="S468" s="26"/>
      <c r="T468" s="26"/>
    </row>
    <row r="469" spans="1:20" s="43" customFormat="1" ht="157.5" x14ac:dyDescent="0.25">
      <c r="A469" s="41" t="s">
        <v>18</v>
      </c>
      <c r="B469" s="23"/>
      <c r="C469" s="41" t="s">
        <v>1265</v>
      </c>
      <c r="D469" s="122">
        <v>330</v>
      </c>
      <c r="E469" s="6">
        <v>1581487.77</v>
      </c>
      <c r="F469" s="6">
        <f>1424218.79+54058.04</f>
        <v>1478276.83</v>
      </c>
      <c r="G469" s="26" t="s">
        <v>1266</v>
      </c>
      <c r="H469" s="27"/>
      <c r="I469" s="27"/>
      <c r="J469" s="123" t="s">
        <v>1481</v>
      </c>
      <c r="K469" s="20" t="s">
        <v>1114</v>
      </c>
      <c r="L469" s="35">
        <v>0.14460000000000001</v>
      </c>
      <c r="M469" s="61">
        <v>1272334.79</v>
      </c>
      <c r="N469" s="32">
        <v>45104</v>
      </c>
      <c r="O469" s="28" t="s">
        <v>1267</v>
      </c>
      <c r="P469" s="40">
        <v>343</v>
      </c>
      <c r="Q469" s="26"/>
      <c r="R469" s="26" t="s">
        <v>1268</v>
      </c>
      <c r="S469" s="26"/>
      <c r="T469" s="26"/>
    </row>
    <row r="470" spans="1:20" s="43" customFormat="1" ht="90" x14ac:dyDescent="0.25">
      <c r="A470" s="41" t="s">
        <v>18</v>
      </c>
      <c r="B470" s="23"/>
      <c r="C470" s="41" t="s">
        <v>1269</v>
      </c>
      <c r="D470" s="122" t="s">
        <v>1270</v>
      </c>
      <c r="E470" s="6">
        <v>2188614.75</v>
      </c>
      <c r="F470" s="6">
        <f>2007679.13+46927.68</f>
        <v>2054606.8099999998</v>
      </c>
      <c r="G470" s="26" t="s">
        <v>1271</v>
      </c>
      <c r="H470" s="27"/>
      <c r="I470" s="27"/>
      <c r="J470" s="28" t="s">
        <v>1272</v>
      </c>
      <c r="K470" s="20" t="s">
        <v>673</v>
      </c>
      <c r="L470" s="35">
        <v>4.7940000000000003E-2</v>
      </c>
      <c r="M470" s="61">
        <v>1958358.67</v>
      </c>
      <c r="N470" s="32">
        <v>45092</v>
      </c>
      <c r="O470" s="28" t="s">
        <v>1280</v>
      </c>
      <c r="P470" s="40">
        <v>550</v>
      </c>
      <c r="Q470" s="26">
        <v>45187</v>
      </c>
      <c r="R470" s="26" t="s">
        <v>1483</v>
      </c>
      <c r="S470" s="26"/>
      <c r="T470" s="26"/>
    </row>
    <row r="471" spans="1:20" s="43" customFormat="1" ht="33.75" x14ac:dyDescent="0.25">
      <c r="A471" s="41"/>
      <c r="B471" s="23"/>
      <c r="C471" s="41" t="s">
        <v>1273</v>
      </c>
      <c r="D471" s="122"/>
      <c r="E471" s="6"/>
      <c r="F471" s="6"/>
      <c r="G471" s="26"/>
      <c r="H471" s="27"/>
      <c r="I471" s="27"/>
      <c r="J471" s="28"/>
      <c r="K471" s="20"/>
      <c r="L471" s="35"/>
      <c r="M471" s="61">
        <v>190097.06</v>
      </c>
      <c r="N471" s="32"/>
      <c r="O471" s="28"/>
      <c r="P471" s="40"/>
      <c r="Q471" s="26"/>
      <c r="R471" s="26"/>
      <c r="S471" s="26"/>
      <c r="T471" s="26"/>
    </row>
    <row r="472" spans="1:20" s="43" customFormat="1" ht="33.75" x14ac:dyDescent="0.25">
      <c r="A472" s="41"/>
      <c r="B472" s="23"/>
      <c r="C472" s="41" t="s">
        <v>1274</v>
      </c>
      <c r="D472" s="122"/>
      <c r="E472" s="6"/>
      <c r="F472" s="6"/>
      <c r="G472" s="26"/>
      <c r="H472" s="27"/>
      <c r="I472" s="27"/>
      <c r="J472" s="28"/>
      <c r="K472" s="20"/>
      <c r="L472" s="35"/>
      <c r="M472" s="61">
        <v>131680.12</v>
      </c>
      <c r="N472" s="32"/>
      <c r="O472" s="28"/>
      <c r="P472" s="40"/>
      <c r="Q472" s="26"/>
      <c r="R472" s="26"/>
      <c r="S472" s="26"/>
      <c r="T472" s="26"/>
    </row>
    <row r="473" spans="1:20" s="43" customFormat="1" ht="67.5" x14ac:dyDescent="0.25">
      <c r="A473" s="41" t="s">
        <v>21</v>
      </c>
      <c r="B473" s="23"/>
      <c r="C473" s="41" t="s">
        <v>1275</v>
      </c>
      <c r="D473" s="122" t="s">
        <v>1276</v>
      </c>
      <c r="E473" s="6">
        <v>1327959.02</v>
      </c>
      <c r="F473" s="6">
        <f>1185877.98+39183.97</f>
        <v>1225061.95</v>
      </c>
      <c r="G473" s="26" t="s">
        <v>1277</v>
      </c>
      <c r="H473" s="27"/>
      <c r="I473" s="27"/>
      <c r="J473" s="28" t="s">
        <v>1278</v>
      </c>
      <c r="K473" s="20" t="s">
        <v>1279</v>
      </c>
      <c r="L473" s="35">
        <v>6.9930000000000006E-2</v>
      </c>
      <c r="M473" s="61">
        <v>1142133.5</v>
      </c>
      <c r="N473" s="32">
        <v>45098</v>
      </c>
      <c r="O473" s="28" t="s">
        <v>1280</v>
      </c>
      <c r="P473" s="40">
        <v>550</v>
      </c>
      <c r="Q473" s="26">
        <v>45216</v>
      </c>
      <c r="R473" s="26">
        <v>45313</v>
      </c>
      <c r="S473" s="26"/>
      <c r="T473" s="26"/>
    </row>
    <row r="474" spans="1:20" s="43" customFormat="1" ht="67.5" x14ac:dyDescent="0.25">
      <c r="A474" s="41" t="s">
        <v>21</v>
      </c>
      <c r="B474" s="23"/>
      <c r="C474" s="41" t="s">
        <v>1281</v>
      </c>
      <c r="D474" s="122">
        <v>240</v>
      </c>
      <c r="E474" s="6">
        <v>90000</v>
      </c>
      <c r="F474" s="6">
        <f>80032.02+1577.31</f>
        <v>81609.33</v>
      </c>
      <c r="G474" s="27"/>
      <c r="H474" s="27"/>
      <c r="I474" s="29" t="s">
        <v>1480</v>
      </c>
      <c r="J474" s="28">
        <v>44917</v>
      </c>
      <c r="K474" s="64" t="s">
        <v>1186</v>
      </c>
      <c r="L474" s="35">
        <v>0.02</v>
      </c>
      <c r="M474" s="61">
        <v>80008.69</v>
      </c>
      <c r="N474" s="32">
        <v>45007</v>
      </c>
      <c r="O474" s="28" t="s">
        <v>1282</v>
      </c>
      <c r="P474" s="40">
        <v>90</v>
      </c>
      <c r="Q474" s="28"/>
      <c r="R474" s="26"/>
      <c r="S474" s="26">
        <v>45098</v>
      </c>
      <c r="T474" s="26">
        <v>45125</v>
      </c>
    </row>
    <row r="475" spans="1:20" s="43" customFormat="1" ht="67.5" x14ac:dyDescent="0.25">
      <c r="A475" s="41" t="s">
        <v>21</v>
      </c>
      <c r="B475" s="23"/>
      <c r="C475" s="41" t="s">
        <v>1283</v>
      </c>
      <c r="D475" s="122">
        <v>240</v>
      </c>
      <c r="E475" s="6">
        <v>253393.69</v>
      </c>
      <c r="F475" s="6">
        <f>213570.77+1890.84</f>
        <v>215461.61</v>
      </c>
      <c r="G475" s="27"/>
      <c r="H475" s="27"/>
      <c r="I475" s="29" t="s">
        <v>1480</v>
      </c>
      <c r="J475" s="28">
        <v>44917</v>
      </c>
      <c r="K475" s="64" t="s">
        <v>1186</v>
      </c>
      <c r="L475" s="35">
        <v>0.02</v>
      </c>
      <c r="M475" s="61">
        <v>211190.19</v>
      </c>
      <c r="N475" s="32">
        <v>45007</v>
      </c>
      <c r="O475" s="28" t="s">
        <v>1282</v>
      </c>
      <c r="P475" s="40">
        <v>90</v>
      </c>
      <c r="Q475" s="28"/>
      <c r="R475" s="26"/>
      <c r="S475" s="26">
        <v>45100</v>
      </c>
      <c r="T475" s="26">
        <v>45125</v>
      </c>
    </row>
    <row r="476" spans="1:20" s="43" customFormat="1" ht="90" x14ac:dyDescent="0.25">
      <c r="A476" s="41" t="s">
        <v>29</v>
      </c>
      <c r="B476" s="23"/>
      <c r="C476" s="41" t="s">
        <v>1284</v>
      </c>
      <c r="D476" s="122">
        <v>240</v>
      </c>
      <c r="E476" s="6">
        <v>265000</v>
      </c>
      <c r="F476" s="6">
        <f>244901.68+6000</f>
        <v>250901.68</v>
      </c>
      <c r="G476" s="27" t="s">
        <v>19</v>
      </c>
      <c r="H476" s="27" t="s">
        <v>19</v>
      </c>
      <c r="I476" s="29" t="s">
        <v>1285</v>
      </c>
      <c r="J476" s="28" t="s">
        <v>1286</v>
      </c>
      <c r="K476" s="20" t="s">
        <v>592</v>
      </c>
      <c r="L476" s="35">
        <v>0.13655</v>
      </c>
      <c r="M476" s="61">
        <v>217460.36</v>
      </c>
      <c r="N476" s="32">
        <v>45062</v>
      </c>
      <c r="O476" s="28" t="s">
        <v>1287</v>
      </c>
      <c r="P476" s="40">
        <v>120</v>
      </c>
      <c r="Q476" s="26" t="s">
        <v>1288</v>
      </c>
      <c r="R476" s="26">
        <v>45334</v>
      </c>
      <c r="S476" s="26">
        <v>45565</v>
      </c>
      <c r="T476" s="26">
        <v>45567</v>
      </c>
    </row>
    <row r="477" spans="1:20" s="43" customFormat="1" ht="45" x14ac:dyDescent="0.25">
      <c r="A477" s="41" t="s">
        <v>29</v>
      </c>
      <c r="B477" s="23"/>
      <c r="C477" s="41" t="s">
        <v>1289</v>
      </c>
      <c r="D477" s="122">
        <v>240</v>
      </c>
      <c r="E477" s="6"/>
      <c r="F477" s="6"/>
      <c r="G477" s="27"/>
      <c r="H477" s="27"/>
      <c r="I477" s="29"/>
      <c r="J477" s="28"/>
      <c r="K477" s="20"/>
      <c r="L477" s="35"/>
      <c r="M477" s="61">
        <v>9083.7900000000009</v>
      </c>
      <c r="N477" s="32"/>
      <c r="O477" s="28"/>
      <c r="P477" s="40"/>
      <c r="Q477" s="28"/>
      <c r="R477" s="26"/>
      <c r="S477" s="26"/>
      <c r="T477" s="26"/>
    </row>
    <row r="478" spans="1:20" s="43" customFormat="1" ht="45" x14ac:dyDescent="0.25">
      <c r="A478" s="41" t="s">
        <v>29</v>
      </c>
      <c r="B478" s="23"/>
      <c r="C478" s="41" t="s">
        <v>1290</v>
      </c>
      <c r="D478" s="122">
        <v>240</v>
      </c>
      <c r="E478" s="6"/>
      <c r="F478" s="6"/>
      <c r="G478" s="27"/>
      <c r="H478" s="27"/>
      <c r="I478" s="29"/>
      <c r="J478" s="28"/>
      <c r="K478" s="20"/>
      <c r="L478" s="35"/>
      <c r="M478" s="61">
        <v>3414.08</v>
      </c>
      <c r="N478" s="32"/>
      <c r="O478" s="28"/>
      <c r="P478" s="40"/>
      <c r="Q478" s="28"/>
      <c r="R478" s="26"/>
      <c r="S478" s="26"/>
      <c r="T478" s="26"/>
    </row>
    <row r="479" spans="1:20" s="43" customFormat="1" ht="168.75" x14ac:dyDescent="0.25">
      <c r="A479" s="41" t="s">
        <v>29</v>
      </c>
      <c r="B479" s="23"/>
      <c r="C479" s="41" t="s">
        <v>1291</v>
      </c>
      <c r="D479" s="70" t="s">
        <v>1292</v>
      </c>
      <c r="E479" s="6">
        <v>4548545.46</v>
      </c>
      <c r="F479" s="6">
        <f>4003426.11+200833.98</f>
        <v>4204260.09</v>
      </c>
      <c r="G479" s="26" t="s">
        <v>1293</v>
      </c>
      <c r="H479" s="27"/>
      <c r="I479" s="27"/>
      <c r="J479" s="28" t="s">
        <v>1294</v>
      </c>
      <c r="K479" s="20" t="s">
        <v>1295</v>
      </c>
      <c r="L479" s="35">
        <v>0.17069999999999999</v>
      </c>
      <c r="M479" s="61">
        <v>3520875.25</v>
      </c>
      <c r="N479" s="32">
        <v>45194</v>
      </c>
      <c r="O479" s="115" t="s">
        <v>1732</v>
      </c>
      <c r="P479" s="40">
        <v>730</v>
      </c>
      <c r="Q479" s="26" t="s">
        <v>1296</v>
      </c>
      <c r="R479" s="26">
        <v>45363</v>
      </c>
      <c r="S479" s="26"/>
      <c r="T479" s="26"/>
    </row>
    <row r="480" spans="1:20" s="43" customFormat="1" ht="202.5" x14ac:dyDescent="0.25">
      <c r="A480" s="41" t="s">
        <v>21</v>
      </c>
      <c r="B480" s="23"/>
      <c r="C480" s="41" t="s">
        <v>1297</v>
      </c>
      <c r="D480" s="70" t="s">
        <v>1298</v>
      </c>
      <c r="E480" s="6">
        <v>2196971.39</v>
      </c>
      <c r="F480" s="6">
        <f>2036747.56+87473.13</f>
        <v>2124220.69</v>
      </c>
      <c r="G480" s="26" t="s">
        <v>1299</v>
      </c>
      <c r="H480" s="27"/>
      <c r="I480" s="27"/>
      <c r="J480" s="28" t="s">
        <v>1300</v>
      </c>
      <c r="K480" s="20" t="s">
        <v>1301</v>
      </c>
      <c r="L480" s="35">
        <v>0.16880000000000001</v>
      </c>
      <c r="M480" s="61">
        <v>1780417.7</v>
      </c>
      <c r="N480" s="32">
        <v>45148</v>
      </c>
      <c r="O480" s="28" t="s">
        <v>1733</v>
      </c>
      <c r="P480" s="40">
        <v>500</v>
      </c>
      <c r="Q480" s="19"/>
      <c r="R480" s="26" t="s">
        <v>1302</v>
      </c>
      <c r="S480" s="28"/>
      <c r="T480" s="26"/>
    </row>
    <row r="481" spans="1:20" s="43" customFormat="1" ht="191.25" x14ac:dyDescent="0.25">
      <c r="A481" s="41" t="s">
        <v>21</v>
      </c>
      <c r="B481" s="23"/>
      <c r="C481" s="41" t="s">
        <v>1303</v>
      </c>
      <c r="D481" s="70" t="s">
        <v>1304</v>
      </c>
      <c r="E481" s="6">
        <v>3939271.66</v>
      </c>
      <c r="F481" s="6">
        <f>3719232.9+135711.92</f>
        <v>3854944.82</v>
      </c>
      <c r="G481" s="26" t="s">
        <v>1305</v>
      </c>
      <c r="H481" s="27"/>
      <c r="I481" s="27"/>
      <c r="J481" s="28" t="s">
        <v>1306</v>
      </c>
      <c r="K481" s="20" t="s">
        <v>1301</v>
      </c>
      <c r="L481" s="35">
        <v>0.1358</v>
      </c>
      <c r="M481" s="61">
        <v>3349872.99</v>
      </c>
      <c r="N481" s="32">
        <v>45148</v>
      </c>
      <c r="O481" s="28" t="s">
        <v>1734</v>
      </c>
      <c r="P481" s="40">
        <v>700</v>
      </c>
      <c r="Q481" s="19"/>
      <c r="R481" s="26" t="s">
        <v>1307</v>
      </c>
      <c r="S481" s="28"/>
      <c r="T481" s="26"/>
    </row>
    <row r="482" spans="1:20" s="43" customFormat="1" ht="236.25" x14ac:dyDescent="0.25">
      <c r="A482" s="41" t="s">
        <v>21</v>
      </c>
      <c r="B482" s="23"/>
      <c r="C482" s="41" t="s">
        <v>1308</v>
      </c>
      <c r="D482" s="70" t="s">
        <v>1309</v>
      </c>
      <c r="E482" s="6">
        <v>3665627.97</v>
      </c>
      <c r="F482" s="6">
        <f>3347869.82+95689.59</f>
        <v>3443559.4099999997</v>
      </c>
      <c r="G482" s="26" t="s">
        <v>1310</v>
      </c>
      <c r="H482" s="27"/>
      <c r="I482" s="27"/>
      <c r="J482" s="28" t="s">
        <v>1306</v>
      </c>
      <c r="K482" s="20" t="s">
        <v>1301</v>
      </c>
      <c r="L482" s="35">
        <v>0.18479999999999999</v>
      </c>
      <c r="M482" s="61">
        <v>2824873.07</v>
      </c>
      <c r="N482" s="32">
        <v>45141</v>
      </c>
      <c r="O482" s="28" t="s">
        <v>1734</v>
      </c>
      <c r="P482" s="40">
        <v>850</v>
      </c>
      <c r="Q482" s="19"/>
      <c r="R482" s="26" t="s">
        <v>1311</v>
      </c>
      <c r="S482" s="28"/>
      <c r="T482" s="26"/>
    </row>
    <row r="483" spans="1:20" s="43" customFormat="1" ht="168.75" x14ac:dyDescent="0.25">
      <c r="A483" s="41" t="s">
        <v>21</v>
      </c>
      <c r="B483" s="23"/>
      <c r="C483" s="86" t="s">
        <v>1312</v>
      </c>
      <c r="D483" s="70" t="s">
        <v>1313</v>
      </c>
      <c r="E483" s="6">
        <v>1749821.7</v>
      </c>
      <c r="F483" s="6">
        <f>1646120.47+48773.79</f>
        <v>1694894.26</v>
      </c>
      <c r="G483" s="26" t="s">
        <v>1314</v>
      </c>
      <c r="H483" s="27"/>
      <c r="I483" s="27"/>
      <c r="J483" s="28" t="s">
        <v>1315</v>
      </c>
      <c r="K483" s="20" t="s">
        <v>1316</v>
      </c>
      <c r="L483" s="35">
        <v>2.64E-2</v>
      </c>
      <c r="M483" s="61">
        <v>1651436.68</v>
      </c>
      <c r="N483" s="32">
        <v>45139</v>
      </c>
      <c r="O483" s="28" t="s">
        <v>1733</v>
      </c>
      <c r="P483" s="40">
        <v>400</v>
      </c>
      <c r="Q483" s="26">
        <v>45267</v>
      </c>
      <c r="R483" s="26" t="s">
        <v>1317</v>
      </c>
      <c r="S483" s="28"/>
      <c r="T483" s="26"/>
    </row>
    <row r="484" spans="1:20" s="43" customFormat="1" ht="112.5" x14ac:dyDescent="0.25">
      <c r="A484" s="41"/>
      <c r="B484" s="23"/>
      <c r="C484" s="41" t="s">
        <v>1735</v>
      </c>
      <c r="D484" s="38" t="s">
        <v>699</v>
      </c>
      <c r="E484" s="7">
        <f>1758000+500</f>
        <v>1758500</v>
      </c>
      <c r="F484" s="7">
        <f>1758000+500</f>
        <v>1758500</v>
      </c>
      <c r="G484" s="26" t="s">
        <v>1318</v>
      </c>
      <c r="H484" s="27" t="s">
        <v>19</v>
      </c>
      <c r="I484" s="27" t="s">
        <v>19</v>
      </c>
      <c r="J484" s="28" t="s">
        <v>1319</v>
      </c>
      <c r="K484" s="20" t="s">
        <v>1320</v>
      </c>
      <c r="L484" s="81" t="s">
        <v>1321</v>
      </c>
      <c r="M484" s="61">
        <v>1111255.81</v>
      </c>
      <c r="N484" s="32">
        <v>45196</v>
      </c>
      <c r="O484" s="115" t="s">
        <v>1479</v>
      </c>
      <c r="P484" s="117" t="s">
        <v>1322</v>
      </c>
      <c r="Q484" s="26"/>
      <c r="R484" s="26"/>
      <c r="S484" s="26"/>
      <c r="T484" s="26"/>
    </row>
    <row r="485" spans="1:20" s="43" customFormat="1" ht="135" x14ac:dyDescent="0.25">
      <c r="A485" s="41" t="s">
        <v>29</v>
      </c>
      <c r="B485" s="23"/>
      <c r="C485" s="41" t="s">
        <v>1323</v>
      </c>
      <c r="D485" s="38">
        <v>240</v>
      </c>
      <c r="E485" s="6">
        <v>349976</v>
      </c>
      <c r="F485" s="10">
        <f>293352.37+5196.2</f>
        <v>298548.57</v>
      </c>
      <c r="G485" s="27"/>
      <c r="H485" s="27"/>
      <c r="I485" s="29" t="s">
        <v>1324</v>
      </c>
      <c r="J485" s="28" t="s">
        <v>1325</v>
      </c>
      <c r="K485" s="20" t="s">
        <v>1326</v>
      </c>
      <c r="L485" s="35">
        <v>3.6999999999999998E-2</v>
      </c>
      <c r="M485" s="9">
        <v>287694.53000000003</v>
      </c>
      <c r="N485" s="32">
        <v>45138</v>
      </c>
      <c r="O485" s="28" t="s">
        <v>1327</v>
      </c>
      <c r="P485" s="40">
        <v>224</v>
      </c>
      <c r="Q485" s="26"/>
      <c r="R485" s="26" t="s">
        <v>1328</v>
      </c>
      <c r="S485" s="38"/>
      <c r="T485" s="26"/>
    </row>
    <row r="486" spans="1:20" s="43" customFormat="1" ht="67.5" x14ac:dyDescent="0.25">
      <c r="A486" s="41" t="s">
        <v>29</v>
      </c>
      <c r="B486" s="104"/>
      <c r="C486" s="110" t="s">
        <v>1329</v>
      </c>
      <c r="D486" s="154" t="s">
        <v>1052</v>
      </c>
      <c r="E486" s="14">
        <f>950000+50000</f>
        <v>1000000</v>
      </c>
      <c r="F486" s="14">
        <f>950000+50000</f>
        <v>1000000</v>
      </c>
      <c r="G486" s="26" t="s">
        <v>1330</v>
      </c>
      <c r="H486" s="27"/>
      <c r="I486" s="27"/>
      <c r="J486" s="28" t="s">
        <v>1331</v>
      </c>
      <c r="K486" s="26" t="s">
        <v>1332</v>
      </c>
      <c r="L486" s="35">
        <v>0.18079999999999999</v>
      </c>
      <c r="M486" s="16">
        <f>950000+50000</f>
        <v>1000000</v>
      </c>
      <c r="N486" s="32">
        <v>45188</v>
      </c>
      <c r="O486" s="28" t="s">
        <v>1736</v>
      </c>
      <c r="P486" s="117" t="s">
        <v>1333</v>
      </c>
      <c r="Q486" s="26">
        <v>45225</v>
      </c>
      <c r="R486" s="26">
        <v>45243</v>
      </c>
      <c r="S486" s="26">
        <v>45838</v>
      </c>
      <c r="T486" s="26"/>
    </row>
    <row r="487" spans="1:20" s="43" customFormat="1" ht="45" x14ac:dyDescent="0.25">
      <c r="A487" s="41" t="s">
        <v>29</v>
      </c>
      <c r="B487" s="104"/>
      <c r="C487" s="76" t="s">
        <v>1334</v>
      </c>
      <c r="D487" s="154" t="s">
        <v>1052</v>
      </c>
      <c r="E487" s="14"/>
      <c r="F487" s="14"/>
      <c r="G487" s="26"/>
      <c r="H487" s="27"/>
      <c r="I487" s="27"/>
      <c r="J487" s="28"/>
      <c r="K487" s="26"/>
      <c r="L487" s="35"/>
      <c r="M487" s="16">
        <v>200000</v>
      </c>
      <c r="N487" s="32"/>
      <c r="O487" s="28"/>
      <c r="P487" s="117"/>
      <c r="Q487" s="26"/>
      <c r="R487" s="26"/>
      <c r="S487" s="26"/>
      <c r="T487" s="26"/>
    </row>
    <row r="488" spans="1:20" s="43" customFormat="1" ht="68.25" thickBot="1" x14ac:dyDescent="0.3">
      <c r="A488" s="41" t="s">
        <v>29</v>
      </c>
      <c r="B488" s="104"/>
      <c r="C488" s="124" t="s">
        <v>1335</v>
      </c>
      <c r="D488" s="154" t="s">
        <v>1052</v>
      </c>
      <c r="E488" s="14"/>
      <c r="F488" s="14"/>
      <c r="G488" s="26"/>
      <c r="H488" s="27"/>
      <c r="I488" s="27"/>
      <c r="J488" s="28"/>
      <c r="K488" s="26"/>
      <c r="L488" s="35"/>
      <c r="M488" s="16">
        <v>250000</v>
      </c>
      <c r="N488" s="32"/>
      <c r="O488" s="28"/>
      <c r="P488" s="117"/>
      <c r="Q488" s="26"/>
      <c r="R488" s="26"/>
      <c r="S488" s="26"/>
      <c r="T488" s="26"/>
    </row>
    <row r="489" spans="1:20" s="43" customFormat="1" ht="78.75" x14ac:dyDescent="0.25">
      <c r="A489" s="41" t="s">
        <v>21</v>
      </c>
      <c r="B489" s="73"/>
      <c r="C489" s="74" t="s">
        <v>1056</v>
      </c>
      <c r="D489" s="87" t="s">
        <v>1052</v>
      </c>
      <c r="E489" s="14">
        <f t="shared" ref="E489:F491" si="1">950000+50000</f>
        <v>1000000</v>
      </c>
      <c r="F489" s="14">
        <f t="shared" si="1"/>
        <v>1000000</v>
      </c>
      <c r="G489" s="26" t="s">
        <v>1330</v>
      </c>
      <c r="H489" s="27"/>
      <c r="I489" s="27"/>
      <c r="J489" s="28" t="s">
        <v>1331</v>
      </c>
      <c r="K489" s="26" t="s">
        <v>1336</v>
      </c>
      <c r="L489" s="35">
        <v>0.09</v>
      </c>
      <c r="M489" s="16">
        <f t="shared" ref="M489:M491" si="2">950000+50000</f>
        <v>1000000</v>
      </c>
      <c r="N489" s="32">
        <v>45187</v>
      </c>
      <c r="O489" s="28" t="s">
        <v>1737</v>
      </c>
      <c r="P489" s="117" t="s">
        <v>1333</v>
      </c>
      <c r="Q489" s="26">
        <v>45225</v>
      </c>
      <c r="R489" s="26" t="s">
        <v>1337</v>
      </c>
      <c r="S489" s="26">
        <v>45808</v>
      </c>
      <c r="T489" s="26"/>
    </row>
    <row r="490" spans="1:20" s="43" customFormat="1" ht="79.5" thickBot="1" x14ac:dyDescent="0.3">
      <c r="A490" s="41" t="s">
        <v>21</v>
      </c>
      <c r="B490" s="73"/>
      <c r="C490" s="76" t="s">
        <v>1338</v>
      </c>
      <c r="D490" s="87"/>
      <c r="E490" s="14"/>
      <c r="F490" s="14"/>
      <c r="G490" s="26"/>
      <c r="H490" s="27"/>
      <c r="I490" s="27"/>
      <c r="J490" s="28"/>
      <c r="K490" s="26"/>
      <c r="L490" s="35"/>
      <c r="M490" s="16">
        <v>200000</v>
      </c>
      <c r="N490" s="32"/>
      <c r="O490" s="28"/>
      <c r="P490" s="117"/>
      <c r="Q490" s="26"/>
      <c r="R490" s="26"/>
      <c r="S490" s="26" t="s">
        <v>1339</v>
      </c>
      <c r="T490" s="26"/>
    </row>
    <row r="491" spans="1:20" s="43" customFormat="1" ht="147" thickBot="1" x14ac:dyDescent="0.3">
      <c r="A491" s="41" t="s">
        <v>18</v>
      </c>
      <c r="B491" s="73"/>
      <c r="C491" s="125" t="s">
        <v>1065</v>
      </c>
      <c r="D491" s="87" t="s">
        <v>1052</v>
      </c>
      <c r="E491" s="14">
        <f t="shared" si="1"/>
        <v>1000000</v>
      </c>
      <c r="F491" s="14">
        <f t="shared" si="1"/>
        <v>1000000</v>
      </c>
      <c r="G491" s="26" t="s">
        <v>1330</v>
      </c>
      <c r="H491" s="27"/>
      <c r="I491" s="27"/>
      <c r="J491" s="28" t="s">
        <v>1331</v>
      </c>
      <c r="K491" s="26" t="s">
        <v>1336</v>
      </c>
      <c r="L491" s="35">
        <v>0.08</v>
      </c>
      <c r="M491" s="16">
        <f t="shared" si="2"/>
        <v>1000000</v>
      </c>
      <c r="N491" s="32">
        <v>45188</v>
      </c>
      <c r="O491" s="28" t="s">
        <v>1737</v>
      </c>
      <c r="P491" s="117" t="s">
        <v>1333</v>
      </c>
      <c r="Q491" s="26">
        <v>45225</v>
      </c>
      <c r="R491" s="26" t="s">
        <v>1337</v>
      </c>
      <c r="S491" s="26" t="s">
        <v>1340</v>
      </c>
      <c r="T491" s="26"/>
    </row>
    <row r="492" spans="1:20" s="43" customFormat="1" ht="135" x14ac:dyDescent="0.25">
      <c r="A492" s="41"/>
      <c r="B492" s="73"/>
      <c r="C492" s="78" t="s">
        <v>1738</v>
      </c>
      <c r="D492" s="87">
        <v>240</v>
      </c>
      <c r="E492" s="6">
        <f>450000+300000+22500</f>
        <v>772500</v>
      </c>
      <c r="F492" s="12">
        <f>450000+300000+22500</f>
        <v>772500</v>
      </c>
      <c r="G492" s="26" t="s">
        <v>1341</v>
      </c>
      <c r="H492" s="27"/>
      <c r="I492" s="27"/>
      <c r="J492" s="28" t="s">
        <v>1342</v>
      </c>
      <c r="K492" s="26" t="s">
        <v>1343</v>
      </c>
      <c r="L492" s="35" t="s">
        <v>1344</v>
      </c>
      <c r="M492" s="6">
        <v>772500</v>
      </c>
      <c r="N492" s="32">
        <v>45419</v>
      </c>
      <c r="O492" s="28" t="s">
        <v>1739</v>
      </c>
      <c r="P492" s="117" t="s">
        <v>1345</v>
      </c>
      <c r="Q492" s="28"/>
      <c r="R492" s="26" t="s">
        <v>1346</v>
      </c>
      <c r="S492" s="26"/>
      <c r="T492" s="26"/>
    </row>
    <row r="493" spans="1:20" s="43" customFormat="1" ht="123.75" x14ac:dyDescent="0.25">
      <c r="A493" s="41"/>
      <c r="B493" s="23"/>
      <c r="C493" s="41" t="s">
        <v>1740</v>
      </c>
      <c r="D493" s="83">
        <v>240</v>
      </c>
      <c r="E493" s="14">
        <v>4126398.52</v>
      </c>
      <c r="F493" s="12">
        <f>2941200+928800+116100</f>
        <v>3986100</v>
      </c>
      <c r="G493" s="26" t="s">
        <v>1347</v>
      </c>
      <c r="H493" s="27"/>
      <c r="I493" s="27"/>
      <c r="J493" s="28" t="s">
        <v>1348</v>
      </c>
      <c r="K493" s="64" t="s">
        <v>1349</v>
      </c>
      <c r="L493" s="35">
        <v>0.1676</v>
      </c>
      <c r="M493" s="17">
        <v>3986100</v>
      </c>
      <c r="N493" s="32">
        <v>45419</v>
      </c>
      <c r="O493" s="28">
        <v>45474</v>
      </c>
      <c r="P493" s="117">
        <v>650</v>
      </c>
      <c r="Q493" s="28"/>
      <c r="R493" s="26" t="s">
        <v>1478</v>
      </c>
      <c r="S493" s="28"/>
      <c r="T493" s="26"/>
    </row>
    <row r="494" spans="1:20" s="43" customFormat="1" ht="123.75" x14ac:dyDescent="0.25">
      <c r="A494" s="41"/>
      <c r="B494" s="73"/>
      <c r="C494" s="41" t="s">
        <v>1741</v>
      </c>
      <c r="D494" s="83">
        <v>240</v>
      </c>
      <c r="E494" s="14">
        <v>3359486.93</v>
      </c>
      <c r="F494" s="12">
        <f>2394000+756000+94500</f>
        <v>3244500</v>
      </c>
      <c r="G494" s="26"/>
      <c r="H494" s="27"/>
      <c r="I494" s="27"/>
      <c r="J494" s="28"/>
      <c r="K494" s="26" t="s">
        <v>1332</v>
      </c>
      <c r="L494" s="35">
        <v>8.0500000000000002E-2</v>
      </c>
      <c r="M494" s="17">
        <v>3244500</v>
      </c>
      <c r="N494" s="32">
        <v>45419</v>
      </c>
      <c r="O494" s="28" t="s">
        <v>1742</v>
      </c>
      <c r="P494" s="117">
        <v>650</v>
      </c>
      <c r="Q494" s="28"/>
      <c r="R494" s="26" t="s">
        <v>1476</v>
      </c>
      <c r="S494" s="28"/>
      <c r="T494" s="26"/>
    </row>
    <row r="495" spans="1:20" s="43" customFormat="1" ht="123.75" x14ac:dyDescent="0.25">
      <c r="A495" s="41"/>
      <c r="B495" s="73"/>
      <c r="C495" s="41" t="s">
        <v>1743</v>
      </c>
      <c r="D495" s="83">
        <v>240</v>
      </c>
      <c r="E495" s="14">
        <v>2109549.2599999998</v>
      </c>
      <c r="F495" s="12">
        <f>1504800+475200+59400</f>
        <v>2039400</v>
      </c>
      <c r="G495" s="26"/>
      <c r="H495" s="27"/>
      <c r="I495" s="27"/>
      <c r="J495" s="28"/>
      <c r="K495" s="26" t="s">
        <v>1350</v>
      </c>
      <c r="L495" s="35">
        <v>0.09</v>
      </c>
      <c r="M495" s="17">
        <v>2039400</v>
      </c>
      <c r="N495" s="32">
        <v>45419</v>
      </c>
      <c r="O495" s="26" t="s">
        <v>1744</v>
      </c>
      <c r="P495" s="117">
        <v>650</v>
      </c>
      <c r="Q495" s="28">
        <v>45488</v>
      </c>
      <c r="R495" s="26" t="s">
        <v>1477</v>
      </c>
      <c r="S495" s="28"/>
      <c r="T495" s="26"/>
    </row>
    <row r="496" spans="1:20" s="43" customFormat="1" ht="146.25" x14ac:dyDescent="0.25">
      <c r="A496" s="41"/>
      <c r="B496" s="73"/>
      <c r="C496" s="41" t="s">
        <v>1745</v>
      </c>
      <c r="D496" s="83">
        <v>240</v>
      </c>
      <c r="E496" s="14">
        <v>1587826.08</v>
      </c>
      <c r="F496" s="12">
        <f>1350000+150000+45000</f>
        <v>1545000</v>
      </c>
      <c r="G496" s="26" t="s">
        <v>1351</v>
      </c>
      <c r="H496" s="27"/>
      <c r="I496" s="27"/>
      <c r="J496" s="28" t="s">
        <v>1352</v>
      </c>
      <c r="K496" s="64" t="s">
        <v>1353</v>
      </c>
      <c r="L496" s="35">
        <v>0.25850000000000001</v>
      </c>
      <c r="M496" s="17">
        <v>1545000</v>
      </c>
      <c r="N496" s="32">
        <v>45420</v>
      </c>
      <c r="O496" s="28">
        <v>45475</v>
      </c>
      <c r="P496" s="117">
        <v>650</v>
      </c>
      <c r="Q496" s="28"/>
      <c r="R496" s="26" t="s">
        <v>1475</v>
      </c>
      <c r="S496" s="28"/>
      <c r="T496" s="26"/>
    </row>
    <row r="497" spans="1:20" s="43" customFormat="1" ht="101.25" x14ac:dyDescent="0.25">
      <c r="A497" s="38" t="s">
        <v>489</v>
      </c>
      <c r="B497" s="73"/>
      <c r="C497" s="41" t="s">
        <v>1746</v>
      </c>
      <c r="D497" s="83">
        <v>240</v>
      </c>
      <c r="E497" s="14">
        <f>5243259.55+2000</f>
        <v>5245259.55</v>
      </c>
      <c r="F497" s="6">
        <f>5243259.55+2000</f>
        <v>5245259.55</v>
      </c>
      <c r="G497" s="26" t="s">
        <v>1747</v>
      </c>
      <c r="H497" s="27"/>
      <c r="I497" s="27"/>
      <c r="J497" s="28" t="s">
        <v>1354</v>
      </c>
      <c r="K497" s="64" t="s">
        <v>1355</v>
      </c>
      <c r="L497" s="81" t="s">
        <v>1356</v>
      </c>
      <c r="M497" s="17">
        <v>5245259.55</v>
      </c>
      <c r="N497" s="32">
        <v>45420</v>
      </c>
      <c r="O497" s="28">
        <v>45464</v>
      </c>
      <c r="P497" s="117" t="s">
        <v>1357</v>
      </c>
      <c r="Q497" s="28"/>
      <c r="R497" s="26"/>
      <c r="S497" s="26"/>
      <c r="T497" s="26"/>
    </row>
    <row r="498" spans="1:20" s="43" customFormat="1" ht="78.75" x14ac:dyDescent="0.25">
      <c r="A498" s="41"/>
      <c r="B498" s="73"/>
      <c r="C498" s="41" t="s">
        <v>1748</v>
      </c>
      <c r="D498" s="83">
        <v>240</v>
      </c>
      <c r="E498" s="14">
        <v>1585947</v>
      </c>
      <c r="F498" s="12">
        <v>1585947</v>
      </c>
      <c r="G498" s="26" t="s">
        <v>1749</v>
      </c>
      <c r="H498" s="27"/>
      <c r="I498" s="27"/>
      <c r="J498" s="28" t="s">
        <v>1358</v>
      </c>
      <c r="K498" s="64" t="s">
        <v>1359</v>
      </c>
      <c r="L498" s="35">
        <v>0.18029999999999999</v>
      </c>
      <c r="M498" s="17">
        <v>1585947</v>
      </c>
      <c r="N498" s="32">
        <v>45420</v>
      </c>
      <c r="O498" s="28">
        <v>45468</v>
      </c>
      <c r="P498" s="117" t="s">
        <v>1360</v>
      </c>
      <c r="Q498" s="28" t="s">
        <v>1750</v>
      </c>
      <c r="R498" s="26"/>
      <c r="S498" s="26"/>
      <c r="T498" s="26"/>
    </row>
    <row r="499" spans="1:20" s="43" customFormat="1" ht="67.5" x14ac:dyDescent="0.25">
      <c r="A499" s="41"/>
      <c r="B499" s="73"/>
      <c r="C499" s="41" t="s">
        <v>1751</v>
      </c>
      <c r="D499" s="83">
        <v>240</v>
      </c>
      <c r="E499" s="14">
        <v>1592005.8</v>
      </c>
      <c r="F499" s="12">
        <v>1592005.8</v>
      </c>
      <c r="G499" s="26"/>
      <c r="H499" s="27"/>
      <c r="I499" s="27"/>
      <c r="J499" s="28"/>
      <c r="K499" s="64" t="s">
        <v>1227</v>
      </c>
      <c r="L499" s="35">
        <v>0.3</v>
      </c>
      <c r="M499" s="17">
        <v>1592005.8</v>
      </c>
      <c r="N499" s="32">
        <v>45420</v>
      </c>
      <c r="O499" s="28" t="s">
        <v>1752</v>
      </c>
      <c r="P499" s="117" t="s">
        <v>1360</v>
      </c>
      <c r="Q499" s="28" t="s">
        <v>1750</v>
      </c>
      <c r="R499" s="26"/>
      <c r="S499" s="26"/>
      <c r="T499" s="26"/>
    </row>
    <row r="500" spans="1:20" s="43" customFormat="1" ht="67.5" x14ac:dyDescent="0.25">
      <c r="A500" s="41"/>
      <c r="B500" s="73"/>
      <c r="C500" s="41" t="s">
        <v>1753</v>
      </c>
      <c r="D500" s="83">
        <v>240</v>
      </c>
      <c r="E500" s="14">
        <v>939787.2</v>
      </c>
      <c r="F500" s="12">
        <v>939787.2</v>
      </c>
      <c r="G500" s="26"/>
      <c r="H500" s="27"/>
      <c r="I500" s="27"/>
      <c r="J500" s="28"/>
      <c r="K500" s="64" t="s">
        <v>1361</v>
      </c>
      <c r="L500" s="35">
        <v>0.1424</v>
      </c>
      <c r="M500" s="17">
        <v>939787.2</v>
      </c>
      <c r="N500" s="32">
        <v>45420</v>
      </c>
      <c r="O500" s="28" t="s">
        <v>1752</v>
      </c>
      <c r="P500" s="117" t="s">
        <v>1360</v>
      </c>
      <c r="Q500" s="28" t="s">
        <v>1754</v>
      </c>
      <c r="R500" s="26"/>
      <c r="S500" s="26"/>
      <c r="T500" s="26"/>
    </row>
    <row r="501" spans="1:20" s="43" customFormat="1" ht="135" x14ac:dyDescent="0.25">
      <c r="A501" s="38" t="s">
        <v>489</v>
      </c>
      <c r="B501" s="73"/>
      <c r="C501" s="41" t="s">
        <v>1755</v>
      </c>
      <c r="D501" s="83">
        <v>240</v>
      </c>
      <c r="E501" s="14">
        <f>264600+11340+113400</f>
        <v>389340</v>
      </c>
      <c r="F501" s="6">
        <f>264600+11340+113400</f>
        <v>389340</v>
      </c>
      <c r="G501" s="26" t="s">
        <v>1362</v>
      </c>
      <c r="H501" s="27"/>
      <c r="I501" s="27"/>
      <c r="J501" s="28" t="s">
        <v>1363</v>
      </c>
      <c r="K501" s="26" t="s">
        <v>1756</v>
      </c>
      <c r="L501" s="81" t="s">
        <v>1364</v>
      </c>
      <c r="M501" s="17">
        <v>389340</v>
      </c>
      <c r="N501" s="32">
        <v>45420</v>
      </c>
      <c r="O501" s="28">
        <v>45484</v>
      </c>
      <c r="P501" s="117" t="s">
        <v>1345</v>
      </c>
      <c r="Q501" s="28"/>
      <c r="R501" s="26" t="s">
        <v>1474</v>
      </c>
      <c r="S501" s="26"/>
      <c r="T501" s="26"/>
    </row>
    <row r="502" spans="1:20" s="43" customFormat="1" ht="213.75" x14ac:dyDescent="0.25">
      <c r="A502" s="41"/>
      <c r="B502" s="73"/>
      <c r="C502" s="41" t="s">
        <v>1757</v>
      </c>
      <c r="D502" s="83">
        <v>240</v>
      </c>
      <c r="E502" s="14">
        <f>500000+0</f>
        <v>500000</v>
      </c>
      <c r="F502" s="14">
        <f>500000+0</f>
        <v>500000</v>
      </c>
      <c r="G502" s="26" t="s">
        <v>1758</v>
      </c>
      <c r="H502" s="27"/>
      <c r="I502" s="27"/>
      <c r="J502" s="28" t="s">
        <v>1365</v>
      </c>
      <c r="K502" s="26" t="s">
        <v>1366</v>
      </c>
      <c r="L502" s="35">
        <v>0.16</v>
      </c>
      <c r="M502" s="17">
        <v>420000</v>
      </c>
      <c r="N502" s="32">
        <v>45420</v>
      </c>
      <c r="O502" s="28" t="s">
        <v>1759</v>
      </c>
      <c r="P502" s="117" t="s">
        <v>1360</v>
      </c>
      <c r="Q502" s="28" t="s">
        <v>1760</v>
      </c>
      <c r="R502" s="26"/>
      <c r="S502" s="26"/>
      <c r="T502" s="26"/>
    </row>
    <row r="503" spans="1:20" s="43" customFormat="1" ht="157.5" x14ac:dyDescent="0.25">
      <c r="A503" s="41"/>
      <c r="B503" s="73"/>
      <c r="C503" s="41" t="s">
        <v>1761</v>
      </c>
      <c r="D503" s="83">
        <v>240</v>
      </c>
      <c r="E503" s="14">
        <f>431400+3090000+105642</f>
        <v>3627042</v>
      </c>
      <c r="F503" s="14">
        <f>431400+3090000+105642</f>
        <v>3627042</v>
      </c>
      <c r="G503" s="26" t="s">
        <v>1367</v>
      </c>
      <c r="H503" s="27"/>
      <c r="I503" s="27"/>
      <c r="J503" s="28" t="s">
        <v>1368</v>
      </c>
      <c r="K503" s="64" t="s">
        <v>1369</v>
      </c>
      <c r="L503" s="81" t="s">
        <v>1370</v>
      </c>
      <c r="M503" s="17">
        <v>3627042</v>
      </c>
      <c r="N503" s="32">
        <v>45420</v>
      </c>
      <c r="O503" s="28" t="s">
        <v>1762</v>
      </c>
      <c r="P503" s="117" t="s">
        <v>1360</v>
      </c>
      <c r="Q503" s="28" t="s">
        <v>1763</v>
      </c>
      <c r="R503" s="26" t="s">
        <v>1473</v>
      </c>
      <c r="S503" s="26"/>
      <c r="T503" s="26"/>
    </row>
    <row r="504" spans="1:20" s="43" customFormat="1" ht="67.5" x14ac:dyDescent="0.25">
      <c r="A504" s="38" t="s">
        <v>489</v>
      </c>
      <c r="B504" s="23"/>
      <c r="C504" s="41" t="s">
        <v>1371</v>
      </c>
      <c r="D504" s="38" t="s">
        <v>868</v>
      </c>
      <c r="E504" s="6">
        <v>100000</v>
      </c>
      <c r="F504" s="6">
        <v>100000</v>
      </c>
      <c r="G504" s="26" t="s">
        <v>1372</v>
      </c>
      <c r="H504" s="27"/>
      <c r="I504" s="27"/>
      <c r="J504" s="28" t="s">
        <v>1373</v>
      </c>
      <c r="K504" s="28" t="s">
        <v>1374</v>
      </c>
      <c r="L504" s="35"/>
      <c r="M504" s="6"/>
      <c r="N504" s="32"/>
      <c r="O504" s="26"/>
      <c r="P504" s="40" t="s">
        <v>871</v>
      </c>
      <c r="Q504" s="27"/>
      <c r="R504" s="26"/>
      <c r="S504" s="26"/>
      <c r="T504" s="26"/>
    </row>
    <row r="505" spans="1:20" s="43" customFormat="1" ht="67.5" x14ac:dyDescent="0.25">
      <c r="A505" s="38" t="s">
        <v>489</v>
      </c>
      <c r="B505" s="23"/>
      <c r="C505" s="41" t="s">
        <v>1371</v>
      </c>
      <c r="D505" s="38" t="s">
        <v>868</v>
      </c>
      <c r="E505" s="6">
        <v>110000</v>
      </c>
      <c r="F505" s="6">
        <v>110000</v>
      </c>
      <c r="G505" s="26" t="s">
        <v>1375</v>
      </c>
      <c r="H505" s="27"/>
      <c r="I505" s="27"/>
      <c r="J505" s="28" t="s">
        <v>1376</v>
      </c>
      <c r="K505" s="26" t="s">
        <v>1377</v>
      </c>
      <c r="L505" s="35">
        <v>0.16364000000000001</v>
      </c>
      <c r="M505" s="6">
        <v>110000</v>
      </c>
      <c r="N505" s="32">
        <v>45496</v>
      </c>
      <c r="O505" s="28">
        <v>45537</v>
      </c>
      <c r="P505" s="40" t="s">
        <v>871</v>
      </c>
      <c r="Q505" s="26"/>
      <c r="R505" s="26"/>
      <c r="S505" s="26"/>
      <c r="T505" s="26"/>
    </row>
    <row r="506" spans="1:20" s="43" customFormat="1" ht="90" x14ac:dyDescent="0.25">
      <c r="A506" s="38" t="s">
        <v>29</v>
      </c>
      <c r="B506" s="23"/>
      <c r="C506" s="41" t="s">
        <v>1378</v>
      </c>
      <c r="D506" s="38">
        <v>338</v>
      </c>
      <c r="E506" s="6">
        <v>186000</v>
      </c>
      <c r="F506" s="6">
        <f>171392.56+2275.16</f>
        <v>173667.72</v>
      </c>
      <c r="G506" s="26"/>
      <c r="H506" s="27"/>
      <c r="I506" s="29" t="s">
        <v>1379</v>
      </c>
      <c r="J506" s="28" t="s">
        <v>1380</v>
      </c>
      <c r="K506" s="26" t="s">
        <v>1381</v>
      </c>
      <c r="L506" s="35">
        <v>0.13650000000000001</v>
      </c>
      <c r="M506" s="6">
        <v>150272.64000000001</v>
      </c>
      <c r="N506" s="32">
        <v>45422</v>
      </c>
      <c r="O506" s="28">
        <v>45443</v>
      </c>
      <c r="P506" s="40">
        <v>30</v>
      </c>
      <c r="Q506" s="27"/>
      <c r="R506" s="26" t="s">
        <v>1382</v>
      </c>
      <c r="S506" s="26"/>
      <c r="T506" s="26"/>
    </row>
    <row r="507" spans="1:20" s="43" customFormat="1" ht="135" x14ac:dyDescent="0.25">
      <c r="A507" s="38" t="s">
        <v>18</v>
      </c>
      <c r="B507" s="23"/>
      <c r="C507" s="41" t="s">
        <v>1383</v>
      </c>
      <c r="D507" s="38">
        <v>240</v>
      </c>
      <c r="E507" s="6">
        <v>305000</v>
      </c>
      <c r="F507" s="10">
        <f>230640.95+5196.35</f>
        <v>235837.30000000002</v>
      </c>
      <c r="G507" s="27"/>
      <c r="H507" s="27"/>
      <c r="I507" s="29" t="s">
        <v>1384</v>
      </c>
      <c r="J507" s="28" t="s">
        <v>1385</v>
      </c>
      <c r="K507" s="28" t="s">
        <v>1764</v>
      </c>
      <c r="L507" s="35">
        <v>2.5000000000000001E-2</v>
      </c>
      <c r="M507" s="9">
        <v>230071.28</v>
      </c>
      <c r="N507" s="32">
        <v>45439</v>
      </c>
      <c r="O507" s="28">
        <v>45455</v>
      </c>
      <c r="P507" s="40">
        <v>150</v>
      </c>
      <c r="Q507" s="26"/>
      <c r="R507" s="26"/>
      <c r="S507" s="38"/>
      <c r="T507" s="26"/>
    </row>
    <row r="508" spans="1:20" s="43" customFormat="1" ht="67.5" x14ac:dyDescent="0.25">
      <c r="A508" s="38"/>
      <c r="B508" s="23"/>
      <c r="C508" s="41" t="s">
        <v>1386</v>
      </c>
      <c r="D508" s="38">
        <v>409</v>
      </c>
      <c r="E508" s="2">
        <v>404412.13</v>
      </c>
      <c r="F508" s="2">
        <f>360734.6+16795.46</f>
        <v>377530.06</v>
      </c>
      <c r="G508" s="26" t="s">
        <v>1387</v>
      </c>
      <c r="H508" s="27" t="s">
        <v>19</v>
      </c>
      <c r="I508" s="27" t="s">
        <v>19</v>
      </c>
      <c r="J508" s="28" t="s">
        <v>1388</v>
      </c>
      <c r="K508" s="26" t="s">
        <v>1389</v>
      </c>
      <c r="L508" s="35">
        <v>0.15776999999999999</v>
      </c>
      <c r="M508" s="18">
        <v>320616.96000000002</v>
      </c>
      <c r="N508" s="32">
        <v>45461</v>
      </c>
      <c r="O508" s="28" t="s">
        <v>1765</v>
      </c>
      <c r="P508" s="79">
        <v>150</v>
      </c>
      <c r="Q508" s="26"/>
      <c r="R508" s="26" t="s">
        <v>1390</v>
      </c>
      <c r="S508" s="26"/>
      <c r="T508" s="26"/>
    </row>
    <row r="509" spans="1:20" s="43" customFormat="1" ht="101.25" x14ac:dyDescent="0.25">
      <c r="A509" s="38"/>
      <c r="B509" s="23"/>
      <c r="C509" s="41" t="s">
        <v>1391</v>
      </c>
      <c r="D509" s="38">
        <v>408</v>
      </c>
      <c r="E509" s="2">
        <v>200930</v>
      </c>
      <c r="F509" s="2">
        <f>184237.32+4402.28</f>
        <v>188639.6</v>
      </c>
      <c r="G509" s="26"/>
      <c r="H509" s="27"/>
      <c r="I509" s="29" t="s">
        <v>1392</v>
      </c>
      <c r="J509" s="28" t="s">
        <v>1393</v>
      </c>
      <c r="K509" s="26" t="s">
        <v>1394</v>
      </c>
      <c r="L509" s="35">
        <v>0.18887999999999999</v>
      </c>
      <c r="M509" s="61">
        <v>153840.85</v>
      </c>
      <c r="N509" s="32">
        <v>45456</v>
      </c>
      <c r="O509" s="28" t="s">
        <v>1766</v>
      </c>
      <c r="P509" s="79">
        <v>90</v>
      </c>
      <c r="Q509" s="26"/>
      <c r="R509" s="26" t="s">
        <v>1395</v>
      </c>
      <c r="S509" s="26"/>
      <c r="T509" s="26"/>
    </row>
    <row r="510" spans="1:20" s="43" customFormat="1" ht="101.25" x14ac:dyDescent="0.25">
      <c r="A510" s="38" t="s">
        <v>489</v>
      </c>
      <c r="B510" s="23"/>
      <c r="C510" s="41" t="s">
        <v>1396</v>
      </c>
      <c r="D510" s="38">
        <v>240</v>
      </c>
      <c r="E510" s="2">
        <v>380000</v>
      </c>
      <c r="F510" s="2">
        <f>332500+17500</f>
        <v>350000</v>
      </c>
      <c r="G510" s="26" t="s">
        <v>1397</v>
      </c>
      <c r="H510" s="27" t="s">
        <v>19</v>
      </c>
      <c r="I510" s="27" t="s">
        <v>19</v>
      </c>
      <c r="J510" s="28" t="s">
        <v>1398</v>
      </c>
      <c r="K510" s="26" t="s">
        <v>1399</v>
      </c>
      <c r="L510" s="35">
        <v>0.17271</v>
      </c>
      <c r="M510" s="2">
        <f>332500+17500</f>
        <v>350000</v>
      </c>
      <c r="N510" s="32">
        <v>45485</v>
      </c>
      <c r="O510" s="28" t="s">
        <v>1767</v>
      </c>
      <c r="P510" s="79" t="s">
        <v>1400</v>
      </c>
      <c r="Q510" s="26">
        <v>45727</v>
      </c>
      <c r="R510" s="26" t="s">
        <v>1401</v>
      </c>
      <c r="S510" s="26"/>
      <c r="T510" s="26"/>
    </row>
    <row r="511" spans="1:20" s="43" customFormat="1" ht="90" x14ac:dyDescent="0.25">
      <c r="A511" s="38" t="s">
        <v>489</v>
      </c>
      <c r="B511" s="23"/>
      <c r="C511" s="41" t="s">
        <v>1402</v>
      </c>
      <c r="D511" s="38">
        <v>240</v>
      </c>
      <c r="E511" s="2">
        <v>647000</v>
      </c>
      <c r="F511" s="2">
        <f>570000+30000</f>
        <v>600000</v>
      </c>
      <c r="G511" s="26" t="s">
        <v>1403</v>
      </c>
      <c r="H511" s="27" t="s">
        <v>19</v>
      </c>
      <c r="I511" s="27" t="s">
        <v>19</v>
      </c>
      <c r="J511" s="28" t="s">
        <v>1404</v>
      </c>
      <c r="K511" s="26" t="s">
        <v>1405</v>
      </c>
      <c r="L511" s="35">
        <v>0.187</v>
      </c>
      <c r="M511" s="31">
        <v>600000</v>
      </c>
      <c r="N511" s="32">
        <v>45496</v>
      </c>
      <c r="O511" s="28">
        <v>45505</v>
      </c>
      <c r="P511" s="79" t="s">
        <v>1406</v>
      </c>
      <c r="Q511" s="22"/>
      <c r="R511" s="26" t="s">
        <v>1407</v>
      </c>
      <c r="S511" s="26"/>
      <c r="T511" s="26"/>
    </row>
    <row r="512" spans="1:20" s="43" customFormat="1" ht="90" x14ac:dyDescent="0.25">
      <c r="A512" s="38"/>
      <c r="B512" s="23"/>
      <c r="C512" s="41" t="s">
        <v>1408</v>
      </c>
      <c r="D512" s="38">
        <v>247</v>
      </c>
      <c r="E512" s="6">
        <v>150000</v>
      </c>
      <c r="F512" s="2">
        <f>116746.36+1860.59</f>
        <v>118606.95</v>
      </c>
      <c r="G512" s="26" t="s">
        <v>1409</v>
      </c>
      <c r="H512" s="27"/>
      <c r="I512" s="29"/>
      <c r="J512" s="28" t="s">
        <v>1410</v>
      </c>
      <c r="K512" s="28" t="s">
        <v>1768</v>
      </c>
      <c r="L512" s="35">
        <v>5.0000000000000001E-3</v>
      </c>
      <c r="M512" s="61">
        <v>118023.22</v>
      </c>
      <c r="N512" s="32">
        <v>45491</v>
      </c>
      <c r="O512" s="28">
        <v>45532</v>
      </c>
      <c r="P512" s="79">
        <v>60</v>
      </c>
      <c r="Q512" s="22"/>
      <c r="R512" s="26"/>
      <c r="S512" s="26"/>
      <c r="T512" s="26"/>
    </row>
    <row r="513" spans="1:20" s="43" customFormat="1" ht="56.25" x14ac:dyDescent="0.25">
      <c r="A513" s="38" t="s">
        <v>489</v>
      </c>
      <c r="B513" s="23"/>
      <c r="C513" s="41" t="s">
        <v>1411</v>
      </c>
      <c r="D513" s="38">
        <v>240</v>
      </c>
      <c r="E513" s="6">
        <v>265000</v>
      </c>
      <c r="F513" s="2">
        <f>245000+5000</f>
        <v>250000</v>
      </c>
      <c r="G513" s="27"/>
      <c r="H513" s="27"/>
      <c r="I513" s="29" t="s">
        <v>1412</v>
      </c>
      <c r="J513" s="28" t="s">
        <v>1472</v>
      </c>
      <c r="K513" s="28" t="s">
        <v>1152</v>
      </c>
      <c r="L513" s="35">
        <v>5.0000000000000001E-3</v>
      </c>
      <c r="M513" s="61">
        <v>250000</v>
      </c>
      <c r="N513" s="32">
        <v>45539</v>
      </c>
      <c r="O513" s="28">
        <v>45553</v>
      </c>
      <c r="P513" s="79" t="s">
        <v>1406</v>
      </c>
      <c r="Q513" s="26"/>
      <c r="R513" s="26"/>
      <c r="S513" s="26"/>
      <c r="T513" s="26"/>
    </row>
    <row r="514" spans="1:20" s="43" customFormat="1" ht="67.5" x14ac:dyDescent="0.25">
      <c r="A514" s="41" t="s">
        <v>29</v>
      </c>
      <c r="B514" s="23"/>
      <c r="C514" s="41" t="s">
        <v>1413</v>
      </c>
      <c r="D514" s="122">
        <v>240</v>
      </c>
      <c r="E514" s="6">
        <v>473244.66</v>
      </c>
      <c r="F514" s="2">
        <f>321996.97+20064.7</f>
        <v>342061.67</v>
      </c>
      <c r="G514" s="27" t="s">
        <v>19</v>
      </c>
      <c r="H514" s="27" t="s">
        <v>19</v>
      </c>
      <c r="I514" s="29" t="s">
        <v>1414</v>
      </c>
      <c r="J514" s="28" t="s">
        <v>1415</v>
      </c>
      <c r="K514" s="28" t="s">
        <v>1416</v>
      </c>
      <c r="L514" s="35">
        <v>0.18809999999999999</v>
      </c>
      <c r="M514" s="61">
        <v>281494.03999999998</v>
      </c>
      <c r="N514" s="32">
        <v>45614</v>
      </c>
      <c r="O514" s="28">
        <v>45680</v>
      </c>
      <c r="P514" s="40">
        <v>240</v>
      </c>
      <c r="R514" s="26"/>
      <c r="S514" s="26"/>
      <c r="T514" s="26"/>
    </row>
    <row r="515" spans="1:20" s="43" customFormat="1" ht="135" x14ac:dyDescent="0.25">
      <c r="A515" s="41" t="s">
        <v>29</v>
      </c>
      <c r="B515" s="23"/>
      <c r="C515" s="41" t="s">
        <v>1417</v>
      </c>
      <c r="D515" s="122" t="s">
        <v>1418</v>
      </c>
      <c r="E515" s="6">
        <v>290000</v>
      </c>
      <c r="F515" s="2">
        <f>263440.66+16844.25</f>
        <v>280284.90999999997</v>
      </c>
      <c r="G515" s="27"/>
      <c r="H515" s="27"/>
      <c r="I515" s="29" t="s">
        <v>1419</v>
      </c>
      <c r="J515" s="28" t="s">
        <v>1420</v>
      </c>
      <c r="K515" s="28" t="s">
        <v>1421</v>
      </c>
      <c r="L515" s="35">
        <v>0.10059999999999999</v>
      </c>
      <c r="M515" s="61">
        <v>253782.78</v>
      </c>
      <c r="N515" s="32">
        <v>45665</v>
      </c>
      <c r="O515" s="28">
        <v>45686</v>
      </c>
      <c r="P515" s="79">
        <v>120</v>
      </c>
      <c r="Q515" s="26"/>
      <c r="R515" s="26" t="s">
        <v>1422</v>
      </c>
      <c r="S515" s="26"/>
      <c r="T515" s="26"/>
    </row>
    <row r="516" spans="1:20" s="43" customFormat="1" ht="180" x14ac:dyDescent="0.25">
      <c r="A516" s="41" t="s">
        <v>18</v>
      </c>
      <c r="B516" s="23"/>
      <c r="C516" s="41" t="s">
        <v>1423</v>
      </c>
      <c r="D516" s="122" t="s">
        <v>1424</v>
      </c>
      <c r="E516" s="6">
        <v>248900</v>
      </c>
      <c r="F516" s="2">
        <f>235694.24+2863.14</f>
        <v>238557.38</v>
      </c>
      <c r="G516" s="27"/>
      <c r="H516" s="27"/>
      <c r="I516" s="29" t="s">
        <v>1425</v>
      </c>
      <c r="J516" s="28" t="s">
        <v>1426</v>
      </c>
      <c r="K516" s="28" t="s">
        <v>1427</v>
      </c>
      <c r="L516" s="35">
        <v>2.1850000000000001E-2</v>
      </c>
      <c r="M516" s="61">
        <v>233407.46</v>
      </c>
      <c r="N516" s="32">
        <v>45681</v>
      </c>
      <c r="O516" s="28">
        <v>45698</v>
      </c>
      <c r="P516" s="79">
        <v>224</v>
      </c>
      <c r="Q516" s="28"/>
      <c r="R516" s="26" t="s">
        <v>1428</v>
      </c>
      <c r="S516" s="26"/>
      <c r="T516" s="26"/>
    </row>
    <row r="517" spans="1:20" s="43" customFormat="1" ht="67.5" x14ac:dyDescent="0.25">
      <c r="A517" s="38" t="s">
        <v>489</v>
      </c>
      <c r="B517" s="23"/>
      <c r="C517" s="41" t="s">
        <v>1429</v>
      </c>
      <c r="D517" s="122">
        <v>240</v>
      </c>
      <c r="E517" s="6">
        <v>475000</v>
      </c>
      <c r="F517" s="2">
        <f>470000+5000</f>
        <v>475000</v>
      </c>
      <c r="G517" s="26" t="s">
        <v>1430</v>
      </c>
      <c r="H517" s="27"/>
      <c r="I517" s="29"/>
      <c r="J517" s="28" t="s">
        <v>1431</v>
      </c>
      <c r="K517" s="28" t="s">
        <v>1432</v>
      </c>
      <c r="L517" s="35">
        <v>0.27971000000000001</v>
      </c>
      <c r="M517" s="61">
        <v>475000</v>
      </c>
      <c r="N517" s="32">
        <v>45681</v>
      </c>
      <c r="O517" s="28">
        <v>45723</v>
      </c>
      <c r="P517" s="79" t="s">
        <v>1400</v>
      </c>
      <c r="Q517" s="28"/>
      <c r="R517" s="26"/>
      <c r="S517" s="26"/>
      <c r="T517" s="26"/>
    </row>
    <row r="518" spans="1:20" s="43" customFormat="1" ht="135" x14ac:dyDescent="0.25">
      <c r="A518" s="41"/>
      <c r="B518" s="23"/>
      <c r="C518" s="41" t="s">
        <v>1433</v>
      </c>
      <c r="D518" s="38" t="s">
        <v>1434</v>
      </c>
      <c r="E518" s="6">
        <v>1679262.53</v>
      </c>
      <c r="F518" s="10">
        <f>1233409.52+198840.24</f>
        <v>1432249.76</v>
      </c>
      <c r="G518" s="26" t="s">
        <v>1435</v>
      </c>
      <c r="H518" s="27"/>
      <c r="I518" s="27"/>
      <c r="J518" s="28" t="s">
        <v>1436</v>
      </c>
      <c r="K518" s="64" t="s">
        <v>1471</v>
      </c>
      <c r="L518" s="35">
        <v>0.1188</v>
      </c>
      <c r="M518" s="61">
        <v>1285720.71</v>
      </c>
      <c r="N518" s="32">
        <v>45824</v>
      </c>
      <c r="O518" s="28">
        <v>45876</v>
      </c>
      <c r="P518" s="40">
        <v>300</v>
      </c>
      <c r="Q518" s="26"/>
      <c r="R518" s="26"/>
      <c r="S518" s="38"/>
      <c r="T518" s="26"/>
    </row>
    <row r="519" spans="1:20" s="43" customFormat="1" ht="67.5" x14ac:dyDescent="0.25">
      <c r="A519" s="38" t="s">
        <v>18</v>
      </c>
      <c r="B519" s="23"/>
      <c r="C519" s="78" t="s">
        <v>1437</v>
      </c>
      <c r="D519" s="83">
        <v>383</v>
      </c>
      <c r="E519" s="6">
        <v>255000</v>
      </c>
      <c r="F519" s="6">
        <f>198831.53+4868.34</f>
        <v>203699.87</v>
      </c>
      <c r="G519" s="27"/>
      <c r="H519" s="27"/>
      <c r="I519" s="29" t="s">
        <v>1438</v>
      </c>
      <c r="J519" s="28" t="s">
        <v>1439</v>
      </c>
      <c r="K519" s="28" t="s">
        <v>1427</v>
      </c>
      <c r="L519" s="35">
        <v>1.8610000000000002E-2</v>
      </c>
      <c r="M519" s="61">
        <v>199999.62</v>
      </c>
      <c r="N519" s="32">
        <v>45727</v>
      </c>
      <c r="O519" s="28">
        <v>45758</v>
      </c>
      <c r="P519" s="40">
        <v>154</v>
      </c>
      <c r="Q519" s="28"/>
      <c r="R519" s="26"/>
      <c r="S519" s="26"/>
      <c r="T519" s="26"/>
    </row>
    <row r="520" spans="1:20" s="43" customFormat="1" ht="56.25" x14ac:dyDescent="0.25">
      <c r="A520" s="38" t="s">
        <v>489</v>
      </c>
      <c r="B520" s="23"/>
      <c r="C520" s="126" t="s">
        <v>1440</v>
      </c>
      <c r="D520" s="122">
        <v>240</v>
      </c>
      <c r="E520" s="6">
        <v>110000</v>
      </c>
      <c r="F520" s="2">
        <v>110000</v>
      </c>
      <c r="G520" s="26"/>
      <c r="H520" s="27"/>
      <c r="I520" s="29" t="s">
        <v>1441</v>
      </c>
      <c r="J520" s="28" t="s">
        <v>1442</v>
      </c>
      <c r="K520" s="28" t="s">
        <v>1443</v>
      </c>
      <c r="L520" s="35">
        <v>0.19744</v>
      </c>
      <c r="M520" s="18">
        <v>110000</v>
      </c>
      <c r="N520" s="32">
        <v>45743</v>
      </c>
      <c r="O520" s="28">
        <v>45754</v>
      </c>
      <c r="P520" s="79" t="s">
        <v>1406</v>
      </c>
      <c r="Q520" s="26"/>
      <c r="R520" s="26"/>
      <c r="S520" s="26"/>
      <c r="T520" s="26"/>
    </row>
    <row r="521" spans="1:20" s="43" customFormat="1" ht="67.5" x14ac:dyDescent="0.25">
      <c r="A521" s="41" t="s">
        <v>29</v>
      </c>
      <c r="B521" s="104"/>
      <c r="C521" s="110" t="s">
        <v>1444</v>
      </c>
      <c r="D521" s="154" t="s">
        <v>1052</v>
      </c>
      <c r="E521" s="14">
        <f>950000+50000</f>
        <v>1000000</v>
      </c>
      <c r="F521" s="14">
        <f>950000+50000</f>
        <v>1000000</v>
      </c>
      <c r="G521" s="26" t="s">
        <v>1445</v>
      </c>
      <c r="H521" s="27"/>
      <c r="I521" s="27"/>
      <c r="J521" s="28" t="s">
        <v>1446</v>
      </c>
      <c r="K521" s="28" t="s">
        <v>1069</v>
      </c>
      <c r="L521" s="35">
        <v>0.16250000000000001</v>
      </c>
      <c r="M521" s="16">
        <v>1000000</v>
      </c>
      <c r="N521" s="32">
        <v>45825</v>
      </c>
      <c r="O521" s="28" t="s">
        <v>1769</v>
      </c>
      <c r="P521" s="79" t="s">
        <v>1447</v>
      </c>
      <c r="Q521" s="26" t="s">
        <v>1448</v>
      </c>
      <c r="R521" s="26"/>
      <c r="S521" s="26"/>
      <c r="T521" s="26"/>
    </row>
    <row r="522" spans="1:20" s="43" customFormat="1" ht="67.5" x14ac:dyDescent="0.25">
      <c r="A522" s="41" t="s">
        <v>21</v>
      </c>
      <c r="B522" s="73"/>
      <c r="C522" s="110" t="s">
        <v>1449</v>
      </c>
      <c r="D522" s="87" t="s">
        <v>1052</v>
      </c>
      <c r="E522" s="14">
        <f t="shared" ref="E522:F524" si="3">950000+50000</f>
        <v>1000000</v>
      </c>
      <c r="F522" s="14">
        <f t="shared" si="3"/>
        <v>1000000</v>
      </c>
      <c r="G522" s="26" t="s">
        <v>1445</v>
      </c>
      <c r="H522" s="27"/>
      <c r="I522" s="27"/>
      <c r="J522" s="28" t="s">
        <v>1446</v>
      </c>
      <c r="K522" s="64" t="s">
        <v>1227</v>
      </c>
      <c r="L522" s="35">
        <v>0.09</v>
      </c>
      <c r="M522" s="16">
        <v>1000000</v>
      </c>
      <c r="N522" s="32">
        <v>45831</v>
      </c>
      <c r="O522" s="28" t="s">
        <v>1770</v>
      </c>
      <c r="P522" s="79" t="s">
        <v>1447</v>
      </c>
      <c r="Q522" s="26" t="s">
        <v>1450</v>
      </c>
      <c r="R522" s="26"/>
      <c r="S522" s="26"/>
      <c r="T522" s="26"/>
    </row>
    <row r="523" spans="1:20" s="43" customFormat="1" ht="56.25" x14ac:dyDescent="0.25">
      <c r="A523" s="41" t="s">
        <v>18</v>
      </c>
      <c r="B523" s="73"/>
      <c r="C523" s="110" t="s">
        <v>1451</v>
      </c>
      <c r="D523" s="87" t="s">
        <v>1052</v>
      </c>
      <c r="E523" s="14">
        <f t="shared" si="3"/>
        <v>1000000</v>
      </c>
      <c r="F523" s="14">
        <f t="shared" si="3"/>
        <v>1000000</v>
      </c>
      <c r="G523" s="26" t="s">
        <v>1445</v>
      </c>
      <c r="H523" s="27"/>
      <c r="I523" s="27"/>
      <c r="J523" s="28" t="s">
        <v>1446</v>
      </c>
      <c r="K523" s="26" t="s">
        <v>1332</v>
      </c>
      <c r="L523" s="35">
        <v>4.8800000000000003E-2</v>
      </c>
      <c r="M523" s="16">
        <v>1000000</v>
      </c>
      <c r="N523" s="32">
        <v>45803</v>
      </c>
      <c r="O523" s="28">
        <v>45824</v>
      </c>
      <c r="P523" s="79" t="s">
        <v>1447</v>
      </c>
      <c r="Q523" s="26">
        <v>45840</v>
      </c>
      <c r="R523" s="26" t="s">
        <v>1452</v>
      </c>
      <c r="S523" s="26"/>
      <c r="T523" s="26"/>
    </row>
    <row r="524" spans="1:20" s="43" customFormat="1" ht="56.25" x14ac:dyDescent="0.25">
      <c r="A524" s="38"/>
      <c r="B524" s="23"/>
      <c r="C524" s="110" t="s">
        <v>1453</v>
      </c>
      <c r="D524" s="87" t="s">
        <v>1052</v>
      </c>
      <c r="E524" s="14">
        <f t="shared" si="3"/>
        <v>1000000</v>
      </c>
      <c r="F524" s="14">
        <f t="shared" si="3"/>
        <v>1000000</v>
      </c>
      <c r="G524" s="26" t="s">
        <v>1445</v>
      </c>
      <c r="H524" s="27"/>
      <c r="I524" s="29"/>
      <c r="J524" s="28" t="s">
        <v>1446</v>
      </c>
      <c r="K524" s="64" t="s">
        <v>1454</v>
      </c>
      <c r="L524" s="35">
        <v>4.7500000000000001E-2</v>
      </c>
      <c r="M524" s="16">
        <v>1000000</v>
      </c>
      <c r="N524" s="32">
        <v>45804</v>
      </c>
      <c r="O524" s="28">
        <v>45835</v>
      </c>
      <c r="P524" s="79" t="s">
        <v>1447</v>
      </c>
      <c r="Q524" s="26">
        <v>45847</v>
      </c>
      <c r="R524" s="26"/>
      <c r="S524" s="26"/>
      <c r="T524" s="26"/>
    </row>
    <row r="525" spans="1:20" s="43" customFormat="1" ht="67.5" x14ac:dyDescent="0.25">
      <c r="A525" s="38"/>
      <c r="B525" s="23"/>
      <c r="C525" s="41" t="s">
        <v>1455</v>
      </c>
      <c r="D525" s="72" t="s">
        <v>1456</v>
      </c>
      <c r="E525" s="14">
        <v>491810</v>
      </c>
      <c r="F525" s="14">
        <f>448204.59+11857.37</f>
        <v>460061.96</v>
      </c>
      <c r="G525" s="26" t="s">
        <v>1457</v>
      </c>
      <c r="H525" s="27" t="s">
        <v>19</v>
      </c>
      <c r="I525" s="27" t="s">
        <v>19</v>
      </c>
      <c r="J525" s="28" t="s">
        <v>1458</v>
      </c>
      <c r="K525" s="64" t="s">
        <v>1459</v>
      </c>
      <c r="L525" s="35">
        <v>0.16771</v>
      </c>
      <c r="M525" s="61">
        <v>384893.57</v>
      </c>
      <c r="N525" s="32">
        <v>45814</v>
      </c>
      <c r="O525" s="28">
        <v>45847</v>
      </c>
      <c r="P525" s="79">
        <v>210</v>
      </c>
      <c r="Q525" s="26"/>
      <c r="R525" s="26"/>
      <c r="S525" s="26"/>
      <c r="T525" s="26"/>
    </row>
    <row r="526" spans="1:20" s="43" customFormat="1" ht="90" x14ac:dyDescent="0.25">
      <c r="A526" s="38"/>
      <c r="B526" s="23"/>
      <c r="C526" s="41" t="s">
        <v>1460</v>
      </c>
      <c r="D526" s="87">
        <v>349</v>
      </c>
      <c r="E526" s="14">
        <v>207000</v>
      </c>
      <c r="F526" s="14">
        <f>184370.31+8789.78</f>
        <v>193160.09</v>
      </c>
      <c r="G526" s="27"/>
      <c r="H526" s="27"/>
      <c r="I526" s="29" t="s">
        <v>1461</v>
      </c>
      <c r="J526" s="28" t="s">
        <v>1462</v>
      </c>
      <c r="K526" s="64" t="s">
        <v>1463</v>
      </c>
      <c r="L526" s="35">
        <v>0.14829999999999999</v>
      </c>
      <c r="M526" s="61">
        <v>165817.97</v>
      </c>
      <c r="N526" s="32">
        <v>45812</v>
      </c>
      <c r="O526" s="28">
        <v>45828</v>
      </c>
      <c r="P526" s="79">
        <v>90</v>
      </c>
      <c r="Q526" s="26"/>
      <c r="R526" s="26"/>
      <c r="S526" s="26"/>
      <c r="T526" s="26"/>
    </row>
    <row r="527" spans="1:20" s="43" customFormat="1" ht="146.25" x14ac:dyDescent="0.25">
      <c r="A527" s="38" t="s">
        <v>18</v>
      </c>
      <c r="B527" s="23"/>
      <c r="C527" s="78" t="s">
        <v>1464</v>
      </c>
      <c r="D527" s="122">
        <v>330</v>
      </c>
      <c r="E527" s="6">
        <v>5110000</v>
      </c>
      <c r="F527" s="6">
        <f>3813904.66+87634.4</f>
        <v>3901539.06</v>
      </c>
      <c r="G527" s="26" t="s">
        <v>1465</v>
      </c>
      <c r="H527" s="27" t="s">
        <v>19</v>
      </c>
      <c r="I527" s="27" t="s">
        <v>19</v>
      </c>
      <c r="J527" s="28" t="s">
        <v>1466</v>
      </c>
      <c r="K527" s="28"/>
      <c r="L527" s="35"/>
      <c r="M527" s="61"/>
      <c r="N527" s="32"/>
      <c r="O527" s="28"/>
      <c r="P527" s="40">
        <v>910</v>
      </c>
      <c r="Q527" s="28"/>
      <c r="R527" s="26"/>
      <c r="S527" s="26"/>
      <c r="T527" s="26"/>
    </row>
    <row r="528" spans="1:20" s="43" customFormat="1" ht="78.75" x14ac:dyDescent="0.25">
      <c r="A528" s="38"/>
      <c r="B528" s="23"/>
      <c r="C528" s="41" t="s">
        <v>1467</v>
      </c>
      <c r="D528" s="87">
        <v>240</v>
      </c>
      <c r="E528" s="14">
        <v>350000</v>
      </c>
      <c r="F528" s="14">
        <f>321246.5+23239.65</f>
        <v>344486.15</v>
      </c>
      <c r="G528" s="27" t="s">
        <v>19</v>
      </c>
      <c r="H528" s="27" t="s">
        <v>19</v>
      </c>
      <c r="I528" s="29" t="s">
        <v>1468</v>
      </c>
      <c r="J528" s="28" t="s">
        <v>1469</v>
      </c>
      <c r="K528" s="64" t="s">
        <v>1470</v>
      </c>
      <c r="L528" s="35">
        <v>7.7700000000000005E-2</v>
      </c>
      <c r="M528" s="61">
        <v>319525.3</v>
      </c>
      <c r="N528" s="28">
        <v>45895</v>
      </c>
      <c r="O528" s="32"/>
      <c r="P528" s="79">
        <v>120</v>
      </c>
      <c r="Q528" s="26"/>
      <c r="R528" s="26"/>
      <c r="S528" s="26"/>
      <c r="T528" s="26"/>
    </row>
    <row r="529" spans="2:20" s="43" customFormat="1" ht="11.25" x14ac:dyDescent="0.25">
      <c r="B529" s="136"/>
      <c r="C529" s="155"/>
      <c r="D529" s="156"/>
      <c r="E529" s="157">
        <f>SUM(E2:E528)</f>
        <v>253761729.50000012</v>
      </c>
      <c r="F529" s="157">
        <f>SUM(F2:F528)</f>
        <v>231706994.47</v>
      </c>
      <c r="G529" s="52"/>
      <c r="H529" s="52"/>
      <c r="I529" s="52"/>
      <c r="J529" s="127"/>
      <c r="K529" s="128"/>
      <c r="L529" s="19"/>
      <c r="M529" s="157">
        <f>SUM(M2:M528)</f>
        <v>213775406.38000005</v>
      </c>
      <c r="N529" s="129"/>
      <c r="O529" s="52"/>
      <c r="P529" s="158"/>
      <c r="Q529" s="52"/>
      <c r="R529" s="52"/>
      <c r="S529" s="52"/>
      <c r="T529" s="52"/>
    </row>
  </sheetData>
  <mergeCells count="2">
    <mergeCell ref="A24:A25"/>
    <mergeCell ref="B24:B25"/>
  </mergeCells>
  <printOptions horizontalCentered="1"/>
  <pageMargins left="0.19685039370078741" right="0.19685039370078741" top="0.39370078740157483" bottom="0.19685039370078741" header="0.19685039370078741" footer="0.19685039370078741"/>
  <pageSetup paperSize="9" scale="60" orientation="landscape" r:id="rId1"/>
  <headerFooter>
    <oddHeader>&amp;CTabella gare lavori al 4.9.25</oddHeader>
    <oddFooter>&amp;LPavia Acque S.c.a.r.l.&amp;R&amp;P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cronologia gare</vt:lpstr>
      <vt:lpstr>'cronologia gare'!Area_stampa</vt:lpstr>
      <vt:lpstr>'cronologia gare'!Titoli_stampa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Fracchioni Carla</dc:creator>
  <cp:lastModifiedBy>Vercesi Patrizia</cp:lastModifiedBy>
  <cp:lastPrinted>2025-09-04T09:47:03Z</cp:lastPrinted>
  <dcterms:created xsi:type="dcterms:W3CDTF">2025-09-04T07:46:08Z</dcterms:created>
  <dcterms:modified xsi:type="dcterms:W3CDTF">2025-09-04T09:56:05Z</dcterms:modified>
</cp:coreProperties>
</file>